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X3+rZ43VHQ3TZeobvZ2U+m9eG5QniPtTKl8aSncrWng0QjSdoEDCZcNZxQnK65UWP7pGPHs2dcG1Y6dOH7tmyg==" workbookSaltValue="VqJylPemDJiDZVpee8i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F17" i="8"/>
  <c r="AB19" i="19"/>
  <c r="E18" i="12"/>
  <c r="ER19" i="8"/>
  <c r="EL19" i="8"/>
  <c r="AC11" i="11"/>
  <c r="EQ19" i="8"/>
  <c r="AP12" i="11"/>
  <c r="Y11" i="11"/>
  <c r="AT18" i="17"/>
  <c r="B16" i="6"/>
  <c r="AL10" i="11"/>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1"/>
  <c r="AC10" i="11"/>
  <c r="AJ19" i="8"/>
  <c r="T13" i="12"/>
  <c r="BM12" i="11"/>
  <c r="BJ15" i="11"/>
  <c r="R17" i="20"/>
  <c r="R18" i="20" s="1"/>
  <c r="AZ15" i="11"/>
  <c r="AZ18" i="11" s="1"/>
  <c r="BV12" i="16"/>
  <c r="U10" i="17"/>
  <c r="AA16" i="16"/>
  <c r="T16" i="11"/>
  <c r="BI9" i="11"/>
  <c r="BH11" i="11"/>
  <c r="BH12" i="16"/>
  <c r="S19" i="8"/>
  <c r="AY18" i="8"/>
  <c r="AZ18" i="13"/>
  <c r="BD12" i="8"/>
  <c r="BG15" i="8"/>
  <c r="BD9" i="8"/>
  <c r="BA13" i="8"/>
  <c r="AV18" i="17"/>
  <c r="J18" i="17"/>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8" i="7" l="1"/>
  <c r="C19" i="3"/>
  <c r="E15" i="6"/>
  <c r="AW18" i="21"/>
  <c r="H15" i="2"/>
  <c r="H13" i="12"/>
  <c r="L12" i="14"/>
  <c r="AO12" i="17"/>
  <c r="H12" i="7"/>
  <c r="AO9" i="11"/>
  <c r="AY13" i="8"/>
  <c r="BE9" i="8"/>
  <c r="F9" i="2"/>
  <c r="H12" i="2"/>
  <c r="M18" i="2"/>
  <c r="M19" i="2" s="1"/>
  <c r="N18" i="2"/>
  <c r="AL11" i="11"/>
  <c r="B9" i="6"/>
  <c r="C10" i="6"/>
  <c r="BD15" i="8"/>
  <c r="H15" i="7" s="1"/>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8" i="6" l="1"/>
  <c r="I17" i="12"/>
  <c r="B19" i="7"/>
  <c r="D19" i="5"/>
  <c r="G19" i="7"/>
  <c r="F19" i="7"/>
  <c r="D19" i="12"/>
  <c r="I10" i="12"/>
  <c r="AM13" i="11"/>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<sst xmlns="http://schemas.openxmlformats.org/spreadsheetml/2006/main" count="2074" uniqueCount="909">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</sst>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MvW9464WpVF8NqQcJBgosVCj+cjPIdc7OXFZM4AkpR+layNZtJrSWieuowTmzF4DC31iszqrp8QNEh2/d4WUg==" saltValue="cjhvKJPaxzvLd2V3znXq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21.866473988439306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249</v>
      </c>
      <c r="D10" s="224">
        <f>IF(ISNUMBER(Datos!I10),Datos!I10," - ")</f>
        <v>249</v>
      </c>
      <c r="E10" s="225">
        <f>IF(ISNUMBER(Datos!J10),Datos!J10," - ")</f>
        <v>53</v>
      </c>
      <c r="F10" s="225">
        <f>IF(ISNUMBER(Datos!K10),Datos!K10," - ")</f>
        <v>38</v>
      </c>
      <c r="G10" s="1033" t="str">
        <f>IF(Datos!E10&lt;&gt;"",Datos!E10,Datos!D10)</f>
        <v>37</v>
      </c>
      <c r="H10" s="226">
        <f>IF(ISNUMBER(Datos!L10),Datos!L10," - ")</f>
        <v>264</v>
      </c>
      <c r="I10" s="1043" t="str">
        <f>IF(ISNUMBER(Datos!AS10/Datos!BM10),Datos!AS10/Datos!BM10," - ")</f>
        <v xml:space="preserve"> - </v>
      </c>
      <c r="J10" s="1044">
        <f>IF(ISNUMBER(Datos!BY10/Datos!CN10),Datos!BY10/Datos!CN10," - ")</f>
        <v>0</v>
      </c>
      <c r="K10" s="229">
        <f t="shared" ref="K10:K12" si="1">IF(ISNUMBER((E10-F10)/C10),(E10-F10)/C10," - ")</f>
        <v>6.0240963855421686E-2</v>
      </c>
      <c r="L10" s="1024">
        <f>IF(ISNUMBER(NºAsuntos!I10/NºAsuntos!G10),(NºAsuntos!I10/NºAsuntos!G10)*11," - ")</f>
        <v>76.421052631578945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48.400000000000006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249</v>
      </c>
      <c r="D13" s="1048">
        <f>SUBTOTAL(9,D9:D12)</f>
        <v>249</v>
      </c>
      <c r="E13" s="1049">
        <f>SUBTOTAL(9,E9:E12)</f>
        <v>53</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1912</v>
      </c>
      <c r="D15" s="224">
        <f>IF(ISNUMBER(IF(D_I="SI",Datos!I15,Datos!I15+Datos!AC15)),IF(D_I="SI",Datos!I15,Datos!I15+Datos!AC15)," - ")</f>
        <v>1900</v>
      </c>
      <c r="E15" s="225">
        <f>IF(ISNUMBER(IF(D_I="SI",Datos!J15,Datos!J15+Datos!AD15)),IF(D_I="SI",Datos!J15,Datos!J15+Datos!AD15)," - ")</f>
        <v>1361</v>
      </c>
      <c r="F15" s="225">
        <f>IF(ISNUMBER(IF(D_I="SI",Datos!K15,Datos!K15+Datos!AE15)),IF(D_I="SI",Datos!K15,Datos!K15+Datos!AE15)," - ")</f>
        <v>1390</v>
      </c>
      <c r="G15" s="1033" t="str">
        <f>IF(Datos!E15&lt;&gt;"",Datos!E15,Datos!D15)</f>
        <v>03</v>
      </c>
      <c r="H15" s="226">
        <f>IF(ISNUMBER(IF(D_I="SI",Datos!L15,Datos!L15+Datos!AF15)),IF(D_I="SI",Datos!L15,Datos!L15+Datos!AF15)," - ")</f>
        <v>1883</v>
      </c>
      <c r="I15" s="1043" t="str">
        <f>IF(ISNUMBER(Datos!AS15/Datos!BM15),Datos!AS15/Datos!BM15," - ")</f>
        <v xml:space="preserve"> - </v>
      </c>
      <c r="J15" s="1044">
        <f>IF(ISNUMBER(Datos!BY15/Datos!CN15),Datos!BY15/Datos!CN15," - ")</f>
        <v>0</v>
      </c>
      <c r="K15" s="229">
        <f t="shared" ref="K15:K17" si="3">IF(ISNUMBER((E15-F15)/C15),(E15-F15)/C15," - ")</f>
        <v>-1.5167364016736401E-2</v>
      </c>
      <c r="L15" s="1024">
        <f>IF(ISNUMBER(NºAsuntos!I15/NºAsuntos!G15),(NºAsuntos!I15/NºAsuntos!G15)*11," - ")</f>
        <v>14.901438848920865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50</v>
      </c>
      <c r="D16" s="224">
        <f>IF(ISNUMBER(IF(D_I="SI",Datos!I16,Datos!I16+Datos!AC16)),IF(D_I="SI",Datos!I16,Datos!I16+Datos!AC16)," - ")</f>
        <v>47</v>
      </c>
      <c r="E16" s="225">
        <f>IF(ISNUMBER(IF(D_I="SI",Datos!J16,Datos!J16+Datos!AD16)),IF(D_I="SI",Datos!J16,Datos!J16+Datos!AD16)," - ")</f>
        <v>1</v>
      </c>
      <c r="F16" s="225">
        <f>IF(ISNUMBER(IF(D_I="SI",Datos!K16,Datos!K16+Datos!AE16)),IF(D_I="SI",Datos!K16,Datos!K16+Datos!AE16)," - ")</f>
        <v>18</v>
      </c>
      <c r="G16" s="1033" t="str">
        <f>IF(Datos!E16&lt;&gt;"",Datos!E16,Datos!D16)</f>
        <v>04</v>
      </c>
      <c r="H16" s="226">
        <f>IF(ISNUMBER(IF(D_I="SI",Datos!L16,Datos!L16+Datos!AF16)),IF(D_I="SI",Datos!L16,Datos!L16+Datos!AF16)," - ")</f>
        <v>33</v>
      </c>
      <c r="I16" s="1043" t="str">
        <f>IF(ISNUMBER(Datos!AS16/Datos!BM16),Datos!AS16/Datos!BM16," - ")</f>
        <v xml:space="preserve"> - </v>
      </c>
      <c r="J16" s="1044">
        <f>IF(ISNUMBER(Datos!BY16/Datos!CN16),Datos!BY16/Datos!CN16," - ")</f>
        <v>0</v>
      </c>
      <c r="K16" s="229">
        <f t="shared" si="3"/>
        <v>-0.34</v>
      </c>
      <c r="L16" s="1024">
        <f>IF(ISNUMBER(NºAsuntos!I16/NºAsuntos!G16),(NºAsuntos!I16/NºAsuntos!G16)*11," - ")</f>
        <v>20.166666666666664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229</v>
      </c>
      <c r="D17" s="224">
        <f>IF(ISNUMBER(IF(D_I="SI",Datos!I17,Datos!I17+Datos!AC17)),IF(D_I="SI",Datos!I17,Datos!I17+Datos!AC17)," - ")</f>
        <v>229</v>
      </c>
      <c r="E17" s="225">
        <f>IF(ISNUMBER(IF(D_I="SI",Datos!J17,Datos!J17+Datos!AD17)),IF(D_I="SI",Datos!J17,Datos!J17+Datos!AD17)," - ")</f>
        <v>538</v>
      </c>
      <c r="F17" s="225">
        <f>IF(ISNUMBER(IF(D_I="SI",Datos!K17,Datos!K17+Datos!AE17)),IF(D_I="SI",Datos!K17,Datos!K17+Datos!AE17)," - ")</f>
        <v>456</v>
      </c>
      <c r="G17" s="1033" t="str">
        <f>IF(Datos!E17&lt;&gt;"",Datos!E17,Datos!D17)</f>
        <v>37</v>
      </c>
      <c r="H17" s="226">
        <f>IF(ISNUMBER(IF(D_I="SI",Datos!L17,Datos!L17+Datos!AF17)),IF(D_I="SI",Datos!L17,Datos!L17+Datos!AF17)," - ")</f>
        <v>311</v>
      </c>
      <c r="I17" s="1043" t="str">
        <f>IF(ISNUMBER(Datos!AS17/Datos!BM17),Datos!AS17/Datos!BM17," - ")</f>
        <v xml:space="preserve"> - </v>
      </c>
      <c r="J17" s="1044" t="str">
        <f>IF(ISNUMBER((Datos!BY17+Datos!BZ17)/Datos!CN17),(Datos!BY17+Datos!BZ17)/Datos!CN17," - ")</f>
        <v xml:space="preserve"> - </v>
      </c>
      <c r="K17" s="229">
        <f t="shared" si="3"/>
        <v>0.35807860262008734</v>
      </c>
      <c r="L17" s="1024">
        <f>IF(ISNUMBER(NºAsuntos!I17/NºAsuntos!G17),(NºAsuntos!I17/NºAsuntos!G17)*11," - ")</f>
        <v>7.5021929824561395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2191</v>
      </c>
      <c r="D18" s="1048">
        <f>SUBTOTAL(9,D15:D17)</f>
        <v>2176</v>
      </c>
      <c r="E18" s="1049">
        <f>SUBTOTAL(9,E15:E17)</f>
        <v>1900</v>
      </c>
      <c r="F18" s="1049">
        <f>SUBTOTAL(9,F15:F17)</f>
        <v>1864</v>
      </c>
      <c r="G18" s="1051" t="str">
        <f ca="1">INDIRECT(CONCATENATE("G",ROW()-1))</f>
        <v>37</v>
      </c>
      <c r="H18" s="1052">
        <f ca="1">SUMIF(G$14:G17,G18,H$14:H17)</f>
        <v>311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2440</v>
      </c>
      <c r="D19" s="1070">
        <f>SUBTOTAL(9,D9:D18)</f>
        <v>2425</v>
      </c>
      <c r="E19" s="1071">
        <f>SUBTOTAL(9,E9:E18)</f>
        <v>1953</v>
      </c>
      <c r="F19" s="1071">
        <f>SUBTOTAL(9,F9:F18)</f>
        <v>1902</v>
      </c>
      <c r="G19" s="1072"/>
      <c r="H19" s="1073">
        <f ca="1">SUMIF(B9:B18,"TOTAL",H9:H18)</f>
        <v>311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i3+P7ZpHkixXRC6B+0QijtijkvEsQ0lKA1JiZJmxRKewR74Nr+D0lu202JxuutiDZZ/qOKeM1rc0kGFZLxxc4Q==" saltValue="5NpRpRuzriCsuYE3jlrm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MzWpKYWwzlHzZFZnVkHBlf08jG+xUneW3EebOBktsWGuNFeaEA78uyN6CQeHfyH2O47ChPrm44lSITF8YZzaQ==" saltValue="MM6FPQ0FyfNvqvmsescZ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3578</v>
      </c>
      <c r="J9" s="180">
        <v>1012</v>
      </c>
      <c r="K9" s="180">
        <v>1524</v>
      </c>
      <c r="L9" s="180">
        <v>3066</v>
      </c>
      <c r="M9" s="180">
        <v>603</v>
      </c>
      <c r="N9" s="180">
        <v>435</v>
      </c>
      <c r="O9" s="180">
        <v>832</v>
      </c>
      <c r="P9" s="180">
        <v>678</v>
      </c>
      <c r="Q9" s="180">
        <v>579</v>
      </c>
      <c r="R9" s="180">
        <v>4940</v>
      </c>
      <c r="S9" s="180">
        <v>3344</v>
      </c>
      <c r="T9" s="180">
        <v>1741</v>
      </c>
      <c r="U9" s="180">
        <v>1850</v>
      </c>
      <c r="V9" s="180">
        <v>3313</v>
      </c>
      <c r="W9" s="180">
        <v>841</v>
      </c>
      <c r="X9" s="187">
        <v>542</v>
      </c>
      <c r="Y9" s="190">
        <v>350</v>
      </c>
      <c r="Z9" s="180">
        <v>229</v>
      </c>
      <c r="AA9" s="180">
        <v>206</v>
      </c>
      <c r="AB9" s="180">
        <v>373</v>
      </c>
      <c r="AC9" s="180">
        <v>0</v>
      </c>
      <c r="AD9" s="180">
        <v>0</v>
      </c>
      <c r="AE9" s="180">
        <v>0</v>
      </c>
      <c r="AF9" s="187">
        <v>0</v>
      </c>
      <c r="AG9" s="190">
        <v>224</v>
      </c>
      <c r="AH9" s="180">
        <v>202</v>
      </c>
      <c r="AI9" s="180">
        <v>155</v>
      </c>
      <c r="AJ9" s="191">
        <v>255</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3568</v>
      </c>
      <c r="AZ9" s="123">
        <f>IF(ISNUMBER(IF(J_V="SI",T9,T9+AH9)),IF(J_V="SI",T9,T9+AH9)," - ")</f>
        <v>1943</v>
      </c>
      <c r="BA9" s="124">
        <f>IF(ISNUMBER(IF(J_V="SI",U9,U9+AI9)),IF(J_V="SI",U9,U9+AI9)," - ")</f>
        <v>2005</v>
      </c>
      <c r="BB9" s="124">
        <f>IF(ISNUMBER(IF(J_V="SI",V9,V9+AJ9)),IF(J_V="SI",V9,V9+AJ9)," - ")</f>
        <v>3568</v>
      </c>
      <c r="BC9" s="125">
        <f>IF(ISNUMBER(X9),X9," - ")</f>
        <v>542</v>
      </c>
      <c r="BD9" s="126">
        <f>IF(ISNUMBER(BA9/AZ9),BA9/AZ9," - ")</f>
        <v>1.0319094184251159</v>
      </c>
      <c r="BE9" s="127">
        <f>IF(ISNUMBER(BB9/BA9),BB9/BA9, " - ")</f>
        <v>1.7795511221945137</v>
      </c>
      <c r="BF9" s="127">
        <f>IF(ISNUMBER(BC9/BA9),BC9/BA9, " - ")</f>
        <v>0.27032418952618453</v>
      </c>
      <c r="BG9" s="195">
        <f>IF(ISNUMBER((AY9+AZ9)/BA9),(AY9+AZ9)/BA9," - ")</f>
        <v>2.748628428927681</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249</v>
      </c>
      <c r="J10" s="180">
        <v>53</v>
      </c>
      <c r="K10" s="180">
        <v>38</v>
      </c>
      <c r="L10" s="180">
        <v>264</v>
      </c>
      <c r="M10" s="180">
        <v>27</v>
      </c>
      <c r="N10" s="180">
        <v>2</v>
      </c>
      <c r="O10" s="180">
        <v>0</v>
      </c>
      <c r="P10" s="180">
        <v>8</v>
      </c>
      <c r="Q10" s="180">
        <v>1</v>
      </c>
      <c r="R10" s="180">
        <v>23</v>
      </c>
      <c r="S10" s="180">
        <v>208</v>
      </c>
      <c r="T10" s="180">
        <v>36</v>
      </c>
      <c r="U10" s="180">
        <v>27</v>
      </c>
      <c r="V10" s="180">
        <v>217</v>
      </c>
      <c r="W10" s="180">
        <v>18</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208</v>
      </c>
      <c r="AZ10" s="129">
        <f t="shared" si="0"/>
        <v>36</v>
      </c>
      <c r="BA10" s="129">
        <f t="shared" si="0"/>
        <v>27</v>
      </c>
      <c r="BB10" s="129">
        <f t="shared" si="0"/>
        <v>217</v>
      </c>
      <c r="BC10" s="125">
        <f t="shared" si="0"/>
        <v>18</v>
      </c>
      <c r="BD10" s="126">
        <f>IF(ISNUMBER(BA10/AZ10),BA10/AZ10," - ")</f>
        <v>0.75</v>
      </c>
      <c r="BE10" s="127">
        <f>IF(ISNUMBER(BB10/BA10),BB10/BA10, " - ")</f>
        <v>8.0370370370370363</v>
      </c>
      <c r="BF10" s="127">
        <f>IF(ISNUMBER(BC10/BA10),BC10/BA10, " - ")</f>
        <v>0.66666666666666663</v>
      </c>
      <c r="BG10" s="195">
        <f>IF(ISNUMBER((AY10+AZ10)/BA10),(AY10+AZ10)/BA10," - ")</f>
        <v>9.0370370370370363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61</v>
      </c>
      <c r="J12" s="182">
        <v>1</v>
      </c>
      <c r="K12" s="182">
        <v>15</v>
      </c>
      <c r="L12" s="182">
        <v>47</v>
      </c>
      <c r="M12" s="182">
        <v>4</v>
      </c>
      <c r="N12" s="182">
        <v>8</v>
      </c>
      <c r="O12" s="180">
        <v>51</v>
      </c>
      <c r="P12" s="182">
        <v>1</v>
      </c>
      <c r="Q12" s="182">
        <v>102</v>
      </c>
      <c r="R12" s="182">
        <v>1760</v>
      </c>
      <c r="S12" s="182">
        <v>124</v>
      </c>
      <c r="T12" s="182">
        <v>1</v>
      </c>
      <c r="U12" s="182">
        <v>44</v>
      </c>
      <c r="V12" s="182">
        <v>82</v>
      </c>
      <c r="W12" s="182">
        <v>31</v>
      </c>
      <c r="X12" s="188">
        <v>14</v>
      </c>
      <c r="Y12" s="190">
        <v>19</v>
      </c>
      <c r="Z12" s="180">
        <v>0</v>
      </c>
      <c r="AA12" s="180">
        <v>0</v>
      </c>
      <c r="AB12" s="180">
        <v>19</v>
      </c>
      <c r="AC12" s="182">
        <v>0</v>
      </c>
      <c r="AD12" s="182">
        <v>0</v>
      </c>
      <c r="AE12" s="182">
        <v>0</v>
      </c>
      <c r="AF12" s="188">
        <v>0</v>
      </c>
      <c r="AG12" s="201">
        <v>26</v>
      </c>
      <c r="AH12" s="182">
        <v>1</v>
      </c>
      <c r="AI12" s="182">
        <v>0</v>
      </c>
      <c r="AJ12" s="202">
        <v>27</v>
      </c>
      <c r="AK12" s="181">
        <v>0</v>
      </c>
      <c r="AL12" s="182">
        <v>0</v>
      </c>
      <c r="AM12" s="182">
        <v>0</v>
      </c>
      <c r="AN12" s="188">
        <v>0</v>
      </c>
      <c r="AO12" s="258">
        <v>0</v>
      </c>
      <c r="AP12" s="154">
        <v>0</v>
      </c>
      <c r="AQ12" s="154">
        <v>0</v>
      </c>
      <c r="AR12" s="153">
        <v>0</v>
      </c>
      <c r="AS12" s="339" t="s">
        <v>786</v>
      </c>
      <c r="AT12" s="202"/>
      <c r="AU12" s="201"/>
      <c r="AV12" s="202"/>
      <c r="AW12" s="201"/>
      <c r="AX12" s="202"/>
      <c r="AY12" s="126">
        <f t="shared" si="1"/>
        <v>150</v>
      </c>
      <c r="AZ12" s="127">
        <f t="shared" si="1"/>
        <v>2</v>
      </c>
      <c r="BA12" s="127">
        <f t="shared" si="1"/>
        <v>44</v>
      </c>
      <c r="BB12" s="127">
        <f t="shared" si="1"/>
        <v>109</v>
      </c>
      <c r="BC12" s="125">
        <f>IF(ISNUMBER(X12),X12," - ")</f>
        <v>14</v>
      </c>
      <c r="BD12" s="126">
        <f t="shared" si="2"/>
        <v>22</v>
      </c>
      <c r="BE12" s="127">
        <f t="shared" si="3"/>
        <v>2.4772727272727271</v>
      </c>
      <c r="BF12" s="127">
        <f t="shared" si="4"/>
        <v>0.31818181818181818</v>
      </c>
      <c r="BG12" s="195">
        <f t="shared" si="5"/>
        <v>3.4545454545454546</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3888</v>
      </c>
      <c r="J13" s="183">
        <f t="shared" si="6"/>
        <v>1066</v>
      </c>
      <c r="K13" s="183">
        <f t="shared" si="6"/>
        <v>1577</v>
      </c>
      <c r="L13" s="183">
        <f t="shared" si="6"/>
        <v>3377</v>
      </c>
      <c r="M13" s="183">
        <f t="shared" si="6"/>
        <v>634</v>
      </c>
      <c r="N13" s="183">
        <f t="shared" si="6"/>
        <v>445</v>
      </c>
      <c r="O13" s="183">
        <f t="shared" si="6"/>
        <v>883</v>
      </c>
      <c r="P13" s="183">
        <f t="shared" si="6"/>
        <v>687</v>
      </c>
      <c r="Q13" s="183">
        <f t="shared" si="6"/>
        <v>682</v>
      </c>
      <c r="R13" s="183">
        <f t="shared" si="6"/>
        <v>6723</v>
      </c>
      <c r="S13" s="183">
        <f t="shared" si="6"/>
        <v>3676</v>
      </c>
      <c r="T13" s="183">
        <f t="shared" si="6"/>
        <v>1778</v>
      </c>
      <c r="U13" s="183">
        <f t="shared" si="6"/>
        <v>1921</v>
      </c>
      <c r="V13" s="183">
        <f t="shared" si="6"/>
        <v>3612</v>
      </c>
      <c r="W13" s="183">
        <f t="shared" si="6"/>
        <v>890</v>
      </c>
      <c r="X13" s="183">
        <f t="shared" si="6"/>
        <v>564</v>
      </c>
      <c r="Y13" s="183">
        <f t="shared" si="6"/>
        <v>369</v>
      </c>
      <c r="Z13" s="183">
        <f t="shared" si="6"/>
        <v>229</v>
      </c>
      <c r="AA13" s="183">
        <f t="shared" si="6"/>
        <v>206</v>
      </c>
      <c r="AB13" s="183">
        <f t="shared" si="6"/>
        <v>392</v>
      </c>
      <c r="AC13" s="183">
        <f t="shared" si="6"/>
        <v>0</v>
      </c>
      <c r="AD13" s="183">
        <f t="shared" si="6"/>
        <v>0</v>
      </c>
      <c r="AE13" s="183">
        <f t="shared" si="6"/>
        <v>0</v>
      </c>
      <c r="AF13" s="183">
        <f>SUBTOTAL(9,AF9:AF12)</f>
        <v>0</v>
      </c>
      <c r="AG13" s="183">
        <f t="shared" ref="AG13:AT13" si="7">SUBTOTAL(9,AG8:AG12)</f>
        <v>250</v>
      </c>
      <c r="AH13" s="183">
        <f t="shared" si="7"/>
        <v>203</v>
      </c>
      <c r="AI13" s="183">
        <f t="shared" si="7"/>
        <v>155</v>
      </c>
      <c r="AJ13" s="183">
        <f t="shared" si="7"/>
        <v>282</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3926</v>
      </c>
      <c r="AZ13" s="183">
        <f>SUBTOTAL(9,AZ8:AZ12)</f>
        <v>1981</v>
      </c>
      <c r="BA13" s="183">
        <f>SUBTOTAL(9,BA8:BA12)</f>
        <v>2076</v>
      </c>
      <c r="BB13" s="183">
        <f>SUBTOTAL(9,BB8:BB12)</f>
        <v>3894</v>
      </c>
      <c r="BC13" s="183">
        <f>SUBTOTAL(9,BC8:BC12)</f>
        <v>574</v>
      </c>
      <c r="BD13" s="204">
        <f>IF(ISNUMBER(BA13/AZ13),BA13/AZ13," - ")</f>
        <v>1.0479555779909138</v>
      </c>
      <c r="BE13" s="205">
        <f>IF(ISNUMBER(BB13/BA13),BB13/BA13, " - ")</f>
        <v>1.8757225433526012</v>
      </c>
      <c r="BF13" s="205">
        <f>IF(ISNUMBER(BC13/BA13),BC13/BA13, " - ")</f>
        <v>0.27649325626204241</v>
      </c>
      <c r="BG13" s="206">
        <f>IF(ISNUMBER((AY13+AZ13)/BA13),(AY13+AZ13)/BA13," - ")</f>
        <v>2.8453757225433525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1900</v>
      </c>
      <c r="J15" s="182">
        <v>1361</v>
      </c>
      <c r="K15" s="182">
        <v>1390</v>
      </c>
      <c r="L15" s="182">
        <v>1883</v>
      </c>
      <c r="M15" s="182">
        <v>204</v>
      </c>
      <c r="N15" s="182">
        <v>775</v>
      </c>
      <c r="O15" s="180">
        <v>30</v>
      </c>
      <c r="P15" s="182">
        <v>86</v>
      </c>
      <c r="Q15" s="182">
        <v>58</v>
      </c>
      <c r="R15" s="182">
        <v>372</v>
      </c>
      <c r="S15" s="182">
        <v>1752</v>
      </c>
      <c r="T15" s="182">
        <v>1552</v>
      </c>
      <c r="U15" s="182">
        <v>1569</v>
      </c>
      <c r="V15" s="182">
        <v>1766</v>
      </c>
      <c r="W15" s="182">
        <v>250</v>
      </c>
      <c r="X15" s="188">
        <v>922</v>
      </c>
      <c r="Y15" s="201">
        <v>0</v>
      </c>
      <c r="Z15" s="182">
        <v>0</v>
      </c>
      <c r="AA15" s="182">
        <v>0</v>
      </c>
      <c r="AB15" s="182">
        <v>0</v>
      </c>
      <c r="AC15" s="182">
        <v>0</v>
      </c>
      <c r="AD15" s="182">
        <v>10</v>
      </c>
      <c r="AE15" s="182">
        <v>10</v>
      </c>
      <c r="AF15" s="188">
        <v>0</v>
      </c>
      <c r="AG15" s="201">
        <v>0</v>
      </c>
      <c r="AH15" s="182">
        <v>0</v>
      </c>
      <c r="AI15" s="182">
        <v>0</v>
      </c>
      <c r="AJ15" s="202">
        <v>0</v>
      </c>
      <c r="AK15" s="181">
        <v>5</v>
      </c>
      <c r="AL15" s="182">
        <v>23</v>
      </c>
      <c r="AM15" s="182">
        <v>20</v>
      </c>
      <c r="AN15" s="188">
        <v>8</v>
      </c>
      <c r="AO15" s="258">
        <v>3</v>
      </c>
      <c r="AP15" s="154">
        <v>3</v>
      </c>
      <c r="AQ15" s="154">
        <v>3</v>
      </c>
      <c r="AR15" s="154">
        <v>3</v>
      </c>
      <c r="AS15" s="339" t="s">
        <v>514</v>
      </c>
      <c r="AT15" s="202" t="s">
        <v>326</v>
      </c>
      <c r="AU15" s="201"/>
      <c r="AV15" s="202"/>
      <c r="AW15" s="201"/>
      <c r="AX15" s="202"/>
      <c r="AY15" s="128">
        <f t="shared" ref="AY15:BB16" si="9">IF(ISNUMBER(IF(D_I="SI",S15,S15+AK15)),IF(D_I="SI",S15,S15+AK15)," - ")</f>
        <v>1752</v>
      </c>
      <c r="AZ15" s="129">
        <f t="shared" si="9"/>
        <v>1552</v>
      </c>
      <c r="BA15" s="129">
        <f t="shared" si="9"/>
        <v>1569</v>
      </c>
      <c r="BB15" s="129">
        <f t="shared" si="9"/>
        <v>1766</v>
      </c>
      <c r="BC15" s="125">
        <f>IF(ISNUMBER(W15),W15," - ")</f>
        <v>250</v>
      </c>
      <c r="BD15" s="126">
        <f>IF(ISNUMBER(BA15/AZ15),BA15/AZ15," - ")</f>
        <v>1.0109536082474226</v>
      </c>
      <c r="BE15" s="127">
        <f>IF(ISNUMBER(BB15/BA15),BB15/BA15, " - ")</f>
        <v>1.1255576800509879</v>
      </c>
      <c r="BF15" s="127">
        <f>IF(ISNUMBER(BC15/BA15),BC15/BA15, " - ")</f>
        <v>0.15933715742511154</v>
      </c>
      <c r="BG15" s="195">
        <f t="shared" ref="BG15:BG16" si="10">IF(ISNUMBER((AY15+AZ15)/BA15),(AY15+AZ15)/BA15," - ")</f>
        <v>2.105799872530274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47</v>
      </c>
      <c r="J16" s="182">
        <v>1</v>
      </c>
      <c r="K16" s="182">
        <v>18</v>
      </c>
      <c r="L16" s="182">
        <v>33</v>
      </c>
      <c r="M16" s="182">
        <v>0</v>
      </c>
      <c r="N16" s="182">
        <v>5</v>
      </c>
      <c r="O16" s="180">
        <v>0</v>
      </c>
      <c r="P16" s="182">
        <v>0</v>
      </c>
      <c r="Q16" s="182">
        <v>10</v>
      </c>
      <c r="R16" s="182">
        <v>23</v>
      </c>
      <c r="S16" s="182">
        <v>106</v>
      </c>
      <c r="T16" s="182">
        <v>7</v>
      </c>
      <c r="U16" s="182">
        <v>40</v>
      </c>
      <c r="V16" s="182">
        <v>79</v>
      </c>
      <c r="W16" s="182">
        <v>0</v>
      </c>
      <c r="X16" s="188">
        <v>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106</v>
      </c>
      <c r="AZ16" s="127">
        <f t="shared" si="9"/>
        <v>7</v>
      </c>
      <c r="BA16" s="127">
        <f t="shared" si="9"/>
        <v>40</v>
      </c>
      <c r="BB16" s="127">
        <f t="shared" si="9"/>
        <v>79</v>
      </c>
      <c r="BC16" s="125">
        <f>IF(ISNUMBER(W16),W16," - ")</f>
        <v>0</v>
      </c>
      <c r="BD16" s="126">
        <f t="shared" ref="BD16" si="11">IF(ISNUMBER(BA16/AZ16),BA16/AZ16," - ")</f>
        <v>5.7142857142857144</v>
      </c>
      <c r="BE16" s="127">
        <f t="shared" ref="BE16" si="12">IF(ISNUMBER(BB16/BA16),BB16/BA16, " - ")</f>
        <v>1.9750000000000001</v>
      </c>
      <c r="BF16" s="127">
        <f t="shared" ref="BF16" si="13">IF(ISNUMBER(BC16/BA16),BC16/BA16, " - ")</f>
        <v>0</v>
      </c>
      <c r="BG16" s="195">
        <f t="shared" si="10"/>
        <v>2.8250000000000002</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229</v>
      </c>
      <c r="J17" s="182">
        <v>538</v>
      </c>
      <c r="K17" s="182">
        <v>456</v>
      </c>
      <c r="L17" s="182">
        <v>311</v>
      </c>
      <c r="M17" s="182">
        <v>51</v>
      </c>
      <c r="N17" s="182">
        <v>216</v>
      </c>
      <c r="O17" s="182">
        <v>0</v>
      </c>
      <c r="P17" s="182">
        <v>10</v>
      </c>
      <c r="Q17" s="182">
        <v>0</v>
      </c>
      <c r="R17" s="182">
        <v>18</v>
      </c>
      <c r="S17" s="182">
        <v>161</v>
      </c>
      <c r="T17" s="182">
        <v>378</v>
      </c>
      <c r="U17" s="182">
        <v>365</v>
      </c>
      <c r="V17" s="182">
        <v>174</v>
      </c>
      <c r="W17" s="182">
        <v>50</v>
      </c>
      <c r="X17" s="188">
        <v>144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161</v>
      </c>
      <c r="AZ17" s="129">
        <f t="shared" si="14"/>
        <v>378</v>
      </c>
      <c r="BA17" s="129">
        <f t="shared" si="14"/>
        <v>365</v>
      </c>
      <c r="BB17" s="129">
        <f t="shared" si="14"/>
        <v>174</v>
      </c>
      <c r="BC17" s="125">
        <f>IF(ISNUMBER(W17),W17," - ")</f>
        <v>50</v>
      </c>
      <c r="BD17" s="126">
        <f>IF(ISNUMBER(BA17/AZ17),BA17/AZ17," - ")</f>
        <v>0.96560846560846558</v>
      </c>
      <c r="BE17" s="127">
        <f>IF(ISNUMBER(BB17/BA17),BB17/BA17, " - ")</f>
        <v>0.47671232876712327</v>
      </c>
      <c r="BF17" s="127">
        <f>IF(ISNUMBER(BC17/BA17),BC17/BA17, " - ")</f>
        <v>0.13698630136986301</v>
      </c>
      <c r="BG17" s="195">
        <f>IF(ISNUMBER((AY17+AZ17)/BA17),(AY17+AZ17)/BA17," - ")</f>
        <v>1.4767123287671233</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2176</v>
      </c>
      <c r="J18" s="183">
        <f t="shared" si="15"/>
        <v>1900</v>
      </c>
      <c r="K18" s="183">
        <f t="shared" si="15"/>
        <v>1864</v>
      </c>
      <c r="L18" s="183">
        <f t="shared" si="15"/>
        <v>2227</v>
      </c>
      <c r="M18" s="183">
        <f t="shared" si="15"/>
        <v>255</v>
      </c>
      <c r="N18" s="183">
        <f t="shared" si="15"/>
        <v>996</v>
      </c>
      <c r="O18" s="183">
        <f t="shared" si="15"/>
        <v>30</v>
      </c>
      <c r="P18" s="183">
        <f t="shared" si="15"/>
        <v>96</v>
      </c>
      <c r="Q18" s="183">
        <f t="shared" si="15"/>
        <v>68</v>
      </c>
      <c r="R18" s="183">
        <f t="shared" si="15"/>
        <v>413</v>
      </c>
      <c r="S18" s="183">
        <f t="shared" si="15"/>
        <v>2019</v>
      </c>
      <c r="T18" s="183">
        <f t="shared" si="15"/>
        <v>1937</v>
      </c>
      <c r="U18" s="183">
        <f t="shared" si="15"/>
        <v>1974</v>
      </c>
      <c r="V18" s="183">
        <f t="shared" si="15"/>
        <v>2019</v>
      </c>
      <c r="W18" s="183">
        <f t="shared" si="15"/>
        <v>300</v>
      </c>
      <c r="X18" s="183">
        <f t="shared" si="15"/>
        <v>1069</v>
      </c>
      <c r="Y18" s="183">
        <f t="shared" si="15"/>
        <v>0</v>
      </c>
      <c r="Z18" s="183">
        <f t="shared" si="15"/>
        <v>0</v>
      </c>
      <c r="AA18" s="183">
        <f t="shared" si="15"/>
        <v>0</v>
      </c>
      <c r="AB18" s="183">
        <f t="shared" si="15"/>
        <v>0</v>
      </c>
      <c r="AC18" s="183">
        <f t="shared" si="15"/>
        <v>0</v>
      </c>
      <c r="AD18" s="183">
        <f t="shared" si="15"/>
        <v>10</v>
      </c>
      <c r="AE18" s="183">
        <f t="shared" si="15"/>
        <v>10</v>
      </c>
      <c r="AF18" s="183">
        <f t="shared" si="15"/>
        <v>0</v>
      </c>
      <c r="AG18" s="183">
        <f t="shared" si="15"/>
        <v>0</v>
      </c>
      <c r="AH18" s="183">
        <f t="shared" si="15"/>
        <v>0</v>
      </c>
      <c r="AI18" s="183">
        <f t="shared" si="15"/>
        <v>0</v>
      </c>
      <c r="AJ18" s="183">
        <f t="shared" si="15"/>
        <v>0</v>
      </c>
      <c r="AK18" s="183">
        <f t="shared" si="15"/>
        <v>5</v>
      </c>
      <c r="AL18" s="183">
        <f t="shared" si="15"/>
        <v>23</v>
      </c>
      <c r="AM18" s="183">
        <f t="shared" si="15"/>
        <v>20</v>
      </c>
      <c r="AN18" s="183">
        <f t="shared" si="15"/>
        <v>8</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2019</v>
      </c>
      <c r="AZ18" s="183">
        <f>SUBTOTAL(9,AZ14:AZ17)</f>
        <v>1937</v>
      </c>
      <c r="BA18" s="183">
        <f>SUBTOTAL(9,BA14:BA17)</f>
        <v>1974</v>
      </c>
      <c r="BB18" s="183">
        <f>SUBTOTAL(9,BB14:BB17)</f>
        <v>2019</v>
      </c>
      <c r="BC18" s="183">
        <f>SUBTOTAL(9,BC14:BC17)</f>
        <v>300</v>
      </c>
      <c r="BD18" s="204">
        <f>IF(ISNUMBER(BA18/AZ18),BA18/AZ18," - ")</f>
        <v>1.0191017036654622</v>
      </c>
      <c r="BE18" s="205">
        <f>IF(ISNUMBER(BB18/BA18),BB18/BA18, " - ")</f>
        <v>1.0227963525835866</v>
      </c>
      <c r="BF18" s="205">
        <f>IF(ISNUMBER(BC18/BA18),BC18/BA18, " - ")</f>
        <v>0.1519756838905775</v>
      </c>
      <c r="BG18" s="206">
        <f>IF(ISNUMBER((AY18+AZ18)/BA18),(AY18+AZ18)/BA18," - ")</f>
        <v>2.0040526849037485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6064</v>
      </c>
      <c r="J19" s="134">
        <f t="shared" si="18"/>
        <v>2966</v>
      </c>
      <c r="K19" s="134">
        <f t="shared" si="18"/>
        <v>3441</v>
      </c>
      <c r="L19" s="134">
        <f t="shared" si="18"/>
        <v>5604</v>
      </c>
      <c r="M19" s="134">
        <f t="shared" si="18"/>
        <v>889</v>
      </c>
      <c r="N19" s="134">
        <f t="shared" si="18"/>
        <v>1441</v>
      </c>
      <c r="O19" s="134">
        <f t="shared" si="18"/>
        <v>913</v>
      </c>
      <c r="P19" s="134">
        <f t="shared" si="18"/>
        <v>783</v>
      </c>
      <c r="Q19" s="134">
        <f t="shared" si="18"/>
        <v>750</v>
      </c>
      <c r="R19" s="134">
        <f t="shared" si="18"/>
        <v>7136</v>
      </c>
      <c r="S19" s="134">
        <f t="shared" si="18"/>
        <v>5695</v>
      </c>
      <c r="T19" s="134">
        <f t="shared" si="18"/>
        <v>3715</v>
      </c>
      <c r="U19" s="134">
        <f t="shared" si="18"/>
        <v>3895</v>
      </c>
      <c r="V19" s="134">
        <f t="shared" si="18"/>
        <v>5631</v>
      </c>
      <c r="W19" s="134">
        <f t="shared" si="18"/>
        <v>1190</v>
      </c>
      <c r="X19" s="134">
        <f t="shared" si="18"/>
        <v>1633</v>
      </c>
      <c r="Y19" s="134">
        <f t="shared" si="18"/>
        <v>369</v>
      </c>
      <c r="Z19" s="134">
        <f t="shared" si="18"/>
        <v>229</v>
      </c>
      <c r="AA19" s="134">
        <f t="shared" si="18"/>
        <v>206</v>
      </c>
      <c r="AB19" s="134">
        <f t="shared" si="18"/>
        <v>392</v>
      </c>
      <c r="AC19" s="134">
        <f t="shared" si="18"/>
        <v>0</v>
      </c>
      <c r="AD19" s="134">
        <f t="shared" si="18"/>
        <v>10</v>
      </c>
      <c r="AE19" s="134">
        <f t="shared" si="18"/>
        <v>10</v>
      </c>
      <c r="AF19" s="134">
        <f t="shared" si="18"/>
        <v>0</v>
      </c>
      <c r="AG19" s="134">
        <f t="shared" si="18"/>
        <v>250</v>
      </c>
      <c r="AH19" s="134">
        <f t="shared" si="18"/>
        <v>203</v>
      </c>
      <c r="AI19" s="134">
        <f t="shared" si="18"/>
        <v>155</v>
      </c>
      <c r="AJ19" s="134">
        <f t="shared" si="18"/>
        <v>282</v>
      </c>
      <c r="AK19" s="134">
        <f t="shared" si="18"/>
        <v>5</v>
      </c>
      <c r="AL19" s="134">
        <f t="shared" si="18"/>
        <v>23</v>
      </c>
      <c r="AM19" s="134">
        <f t="shared" si="18"/>
        <v>20</v>
      </c>
      <c r="AN19" s="209">
        <f t="shared" si="18"/>
        <v>8</v>
      </c>
      <c r="AO19" s="210">
        <v>10</v>
      </c>
      <c r="AP19" s="210">
        <v>9</v>
      </c>
      <c r="AQ19" s="210">
        <v>9</v>
      </c>
      <c r="AR19" s="210">
        <v>9</v>
      </c>
      <c r="AS19" s="152">
        <f t="shared" si="18"/>
        <v>0</v>
      </c>
      <c r="AT19" s="152">
        <f t="shared" si="18"/>
        <v>0</v>
      </c>
      <c r="AU19" s="210"/>
      <c r="AV19" s="211"/>
      <c r="AW19" s="210"/>
      <c r="AX19" s="211"/>
      <c r="AY19" s="133">
        <f>SUBTOTAL(9,AY9:AY18)</f>
        <v>5945</v>
      </c>
      <c r="AZ19" s="134">
        <f>SUBTOTAL(9,AZ9:AZ18)</f>
        <v>3918</v>
      </c>
      <c r="BA19" s="134">
        <f>SUBTOTAL(9,BA9:BA18)</f>
        <v>4050</v>
      </c>
      <c r="BB19" s="134">
        <f>SUBTOTAL(9,BB9:BB18)</f>
        <v>5913</v>
      </c>
      <c r="BC19" s="135">
        <f>SUBTOTAL(9,BC9:BC18)</f>
        <v>874</v>
      </c>
      <c r="BD19" s="212">
        <f>IF(ISNUMBER(BA19/AZ19),BA19/AZ19," - ")</f>
        <v>1.0336906584992342</v>
      </c>
      <c r="BE19" s="209">
        <f>IF(ISNUMBER(BB19/BA19),BB19/BA19, " - ")</f>
        <v>1.46</v>
      </c>
      <c r="BF19" s="209">
        <f>IF(ISNUMBER(BC19/BA19),BC19/BA19, " - ")</f>
        <v>0.21580246913580248</v>
      </c>
      <c r="BG19" s="135">
        <f>IF(ISNUMBER((AY19+AZ19)/BA19),(AY19+AZ19)/BA19," - ")</f>
        <v>2.4353086419753085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Gk7wYVQPM4VvDybBwRiakt9Hhi/a63ze/OsBGAuNdpwuVwOH3+LbR6Krl4yiBuKfU9W8hdQehuQm5XnnlsR6A==" saltValue="tWdDUipQ5WCphudPmya5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tDA0NFRk2+55P/OuWY277raDtmr0lMfvajazeRI6pCOCSN4/I09PcvefT/Y/qx/A1xNE1aEVxj1FDJcAN1Rw==" saltValue="3a2rLbmS/lKIEmWHDC8M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229</v>
      </c>
      <c r="O9" s="333"/>
      <c r="P9" s="333"/>
      <c r="Q9" s="225">
        <f>IF(ISNUMBER(Datos!P9),Datos!P9,0)</f>
        <v>678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579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373</v>
      </c>
      <c r="AI9" s="333" t="str">
        <f>IF(ISNUMBER(Datos!CD9),Datos!CD9,"-")</f>
        <v>-</v>
      </c>
      <c r="AJ9" s="333" t="str">
        <f>IF(ISNUMBER(Datos!EN9),Datos!EN9," - ")</f>
        <v xml:space="preserve"> - </v>
      </c>
      <c r="AK9" s="333"/>
      <c r="AL9" s="478"/>
      <c r="AM9" s="334">
        <f>IF(ISNUMBER(Datos!R9),Datos!R9," - ")</f>
        <v>4940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603</v>
      </c>
      <c r="BD9" s="228">
        <f>IF(ISNUMBER(Datos!N9),Datos!N9," - ")</f>
        <v>435</v>
      </c>
      <c r="BE9" s="228" t="str">
        <f>IF(ISNUMBER(Datos!BW9),Datos!BW9," - ")</f>
        <v xml:space="preserve"> - </v>
      </c>
      <c r="BF9" s="227" t="str">
        <f>IF(ISNUMBER(Datos!BX9),Datos!BX9," - ")</f>
        <v xml:space="preserve"> - </v>
      </c>
      <c r="BG9" s="242">
        <f>IF(ISNUMBER(IF(J_V="SI",Datos!K9/Datos!J9,(Datos!K9+Datos!AA9)/(Datos!J9+Datos!Z9))),IF(J_V="SI",Datos!K9/Datos!J9,(Datos!K9+Datos!AA9)/(Datos!J9+Datos!Z9))," - ")</f>
        <v>1.3940370668815472</v>
      </c>
      <c r="BH9" s="259">
        <f>IF(ISNUMBER(((IF(J_V="SI",Datos!L9/Datos!K9,(Datos!L9+Datos!AB9)/(Datos!K9+Datos!AA9)))*11)/factor_trimestre),((IF(J_V="SI",Datos!L9/Datos!K9,(Datos!L9+Datos!AB9)/(Datos!K9+Datos!AA9)))*11)/factor_trimestre," - ")</f>
        <v>5.963583815028902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2.0450320181780623E-2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249</v>
      </c>
      <c r="G10" s="332">
        <f>IF(ISNUMBER(Datos!I10),Datos!I10," - ")</f>
        <v>249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1</v>
      </c>
      <c r="AD10" s="333"/>
      <c r="AE10" s="483"/>
      <c r="AF10" s="331">
        <f>IF(ISNUMBER(Datos!L10),Datos!L10,"-")</f>
        <v>264</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27</v>
      </c>
      <c r="BD10" s="228">
        <f>IF(ISNUMBER(Datos!N10),Datos!N10," - ")</f>
        <v>2</v>
      </c>
      <c r="BE10" s="228" t="str">
        <f>IF(ISNUMBER(Datos!BW10),Datos!BW10," - ")</f>
        <v xml:space="preserve"> - </v>
      </c>
      <c r="BF10" s="227" t="str">
        <f>IF(ISNUMBER(Datos!BX10),Datos!BX10," - ")</f>
        <v xml:space="preserve"> - </v>
      </c>
      <c r="BG10" s="242">
        <f>IF(ISNUMBER(Datos!K10/Datos!J10),Datos!K10/Datos!J10," - ")</f>
        <v>0.71698113207547165</v>
      </c>
      <c r="BH10" s="259">
        <f>IF(ISNUMBER(((Datos!L10/Datos!K10)*11)/factor_trimestre),((Datos!L10/Datos!K10)*11)/factor_trimestre," - ")</f>
        <v>20.842105263157894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0.4375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1760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v>
      </c>
      <c r="BD12" s="228">
        <f>IF(ISNUMBER(Datos!N12),Datos!N12," - ")</f>
        <v>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v>
      </c>
      <c r="BH12" s="259">
        <f>IF(ISNUMBER(((IF(J_V="SI",Datos!L12/Datos!K12,(Datos!L12+Datos!AB12)/(Datos!K12+Datos!AA12)))*11)/factor_trimestre),((IF(J_V="SI",Datos!L12/Datos!K12,(Datos!L12+Datos!AB12)/(Datos!K12+Datos!AA12)))*11)/factor_trimestre," - ")</f>
        <v>13.200000000000003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-5.4271896829661471E-2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249</v>
      </c>
      <c r="G13" s="897">
        <f t="shared" si="0"/>
        <v>249</v>
      </c>
      <c r="H13" s="898">
        <f t="shared" si="0"/>
        <v>0</v>
      </c>
      <c r="I13" s="897">
        <f t="shared" si="0"/>
        <v>0</v>
      </c>
      <c r="J13" s="866">
        <f t="shared" si="0"/>
        <v>0</v>
      </c>
      <c r="K13" s="866">
        <f t="shared" si="0"/>
        <v>0</v>
      </c>
      <c r="L13" s="898">
        <f t="shared" si="0"/>
        <v>0</v>
      </c>
      <c r="M13" s="898">
        <f t="shared" si="0"/>
        <v>0</v>
      </c>
      <c r="N13" s="898">
        <f t="shared" si="0"/>
        <v>229</v>
      </c>
      <c r="O13" s="899">
        <f t="shared" si="0"/>
        <v>0</v>
      </c>
      <c r="P13" s="899">
        <f t="shared" si="0"/>
        <v>0</v>
      </c>
      <c r="Q13" s="898">
        <f t="shared" si="0"/>
        <v>687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682</v>
      </c>
      <c r="AD13" s="898">
        <f t="shared" si="1"/>
        <v>0</v>
      </c>
      <c r="AE13" s="898">
        <f t="shared" si="1"/>
        <v>0</v>
      </c>
      <c r="AF13" s="898">
        <f t="shared" si="1"/>
        <v>264</v>
      </c>
      <c r="AG13" s="898">
        <f t="shared" si="1"/>
        <v>0</v>
      </c>
      <c r="AH13" s="898">
        <f t="shared" si="1"/>
        <v>392</v>
      </c>
      <c r="AI13" s="898">
        <f t="shared" si="1"/>
        <v>0</v>
      </c>
      <c r="AJ13" s="898">
        <f t="shared" si="1"/>
        <v>0</v>
      </c>
      <c r="AK13" s="898">
        <f t="shared" si="1"/>
        <v>0</v>
      </c>
      <c r="AL13" s="898">
        <f t="shared" si="1"/>
        <v>0</v>
      </c>
      <c r="AM13" s="898">
        <f t="shared" si="1"/>
        <v>6723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634</v>
      </c>
      <c r="BD13" s="898">
        <f t="shared" si="1"/>
        <v>445</v>
      </c>
      <c r="BE13" s="898">
        <f t="shared" si="1"/>
        <v>0</v>
      </c>
      <c r="BF13" s="898">
        <f t="shared" si="1"/>
        <v>0</v>
      </c>
      <c r="BG13" s="898">
        <f>IF(ISNUMBER(Datos!K13/Datos!J13),Datos!K13/Datos!J13," - ")</f>
        <v>1.4793621013133209</v>
      </c>
      <c r="BH13" s="902">
        <f>IF(ISNUMBER(((Datos!L13/Datos!K13)*11)/factor_trimestre),((Datos!L13/Datos!K13)*11)/factor_trimestre," - ")</f>
        <v>6.4242232086239701</v>
      </c>
      <c r="BI13" s="898">
        <f>IF(ISNUMBER('Resol  Asuntos'!D13/NºAsuntos!G13),'Resol  Asuntos'!D13/NºAsuntos!G13," - ")</f>
        <v>0.35558048233314637</v>
      </c>
      <c r="BJ13" s="898" t="str">
        <f>IF(ISNUMBER(Datos!CI13/Datos!CJ13),Datos!CI13/Datos!CJ13," - ")</f>
        <v xml:space="preserve"> - </v>
      </c>
      <c r="BK13" s="898">
        <f>SUBTOTAL(9,BK8:BK12)</f>
        <v>0</v>
      </c>
      <c r="BL13" s="898">
        <f>IF(ISNUMBER((I13-AB13+L13)/(F13)),(I13-AB13+L13)/(F13)," - ")</f>
        <v>-0.15261044176706828</v>
      </c>
      <c r="BM13" s="903">
        <f>SUBTOTAL(9,BM9:BM12)</f>
        <v>0.40367842335211912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1912</v>
      </c>
      <c r="G15" s="597">
        <f>IF(ISNUMBER(IF(D_I="SI",Datos!I15,Datos!I15+Datos!AC15)),IF(D_I="SI",Datos!I15,Datos!I15+Datos!AC15)," - ")</f>
        <v>1900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1390</v>
      </c>
      <c r="AC15" s="225">
        <f>IF(ISNUMBER(Datos!Q15),Datos!Q15," - ")</f>
        <v>58</v>
      </c>
      <c r="AD15" s="333"/>
      <c r="AE15" s="483"/>
      <c r="AF15" s="595">
        <f>IF(ISNUMBER(IF(D_I="SI",Datos!L15,Datos!L15+Datos!AF15)),IF(D_I="SI",Datos!L15,Datos!L15+Datos!AF15)," - ")</f>
        <v>1883</v>
      </c>
      <c r="AG15" s="333"/>
      <c r="AH15" s="333"/>
      <c r="AI15" s="333"/>
      <c r="AJ15" s="333"/>
      <c r="AK15" s="333"/>
      <c r="AL15" s="478"/>
      <c r="AM15" s="334">
        <f>IF(ISNUMBER(Datos!R15),Datos!R15," - ")</f>
        <v>372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204</v>
      </c>
      <c r="BD15" s="228">
        <f>IF(ISNUMBER(Datos!N15),Datos!N15," - ")</f>
        <v>775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1.0213078618662748</v>
      </c>
      <c r="BH15" s="259">
        <f>IF(ISNUMBER(((IF(D_I="SI",Datos!L15/Datos!K15,(Datos!L15+Datos!AF15)/(Datos!K15+Datos!AE15)))*11)/factor_trimestre),((IF(D_I="SI",Datos!L15/Datos!K15,(Datos!L15+Datos!AF15)/(Datos!K15+Datos!AE15)))*11)/factor_trimestre," - ")</f>
        <v>4.064028776978418</v>
      </c>
      <c r="BI15" s="242">
        <f>IF(ISNUMBER('Resol  Asuntos'!D15/NºAsuntos!G15),'Resol  Asuntos'!D15/NºAsuntos!G15," - ")</f>
        <v>0.14676258992805755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50</v>
      </c>
      <c r="G16" s="597">
        <f>IF(ISNUMBER(IF(D_I="SI",Datos!I16,Datos!I16+Datos!AC16)),IF(D_I="SI",Datos!I16,Datos!I16+Datos!AC16)," - ")</f>
        <v>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v>
      </c>
      <c r="AC16" s="225">
        <f>IF(ISNUMBER(Datos!Q16),Datos!Q16," - ")</f>
        <v>10</v>
      </c>
      <c r="AD16" s="333"/>
      <c r="AE16" s="483"/>
      <c r="AF16" s="595">
        <f>IF(ISNUMBER(IF(D_I="SI",Datos!L16,Datos!L16+Datos!AF16)),IF(D_I="SI",Datos!L16,Datos!L16+Datos!AF16)," - ")</f>
        <v>33</v>
      </c>
      <c r="AG16" s="333"/>
      <c r="AH16" s="333"/>
      <c r="AI16" s="333"/>
      <c r="AJ16" s="333"/>
      <c r="AK16" s="333"/>
      <c r="AL16" s="478"/>
      <c r="AM16" s="334">
        <f>IF(ISNUMBER(Datos!R16),Datos!R16," - ")</f>
        <v>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18</v>
      </c>
      <c r="BH16" s="259">
        <f>IF(ISNUMBER(((IF(D_I="SI",Datos!L16/Datos!K16,(Datos!L16+Datos!AF16)/(Datos!K16+Datos!AE16)))*11)/factor_trimestre),((IF(D_I="SI",Datos!L16/Datos!K16,(Datos!L16+Datos!AF16)/(Datos!K16+Datos!AE16)))*11)/factor_trimestre," - ")</f>
        <v>5.5</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456</v>
      </c>
      <c r="AC17" s="225">
        <f>IF(ISNUMBER(Datos!Q17),Datos!Q17," - ")</f>
        <v>0</v>
      </c>
      <c r="AD17" s="333"/>
      <c r="AE17" s="483"/>
      <c r="AF17" s="331">
        <f>IF(ISNUMBER(Datos!L17),Datos!L17,"-")</f>
        <v>311</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51</v>
      </c>
      <c r="BD17" s="228">
        <f>IF(ISNUMBER(Datos!N17),Datos!N17," - ")</f>
        <v>216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0.84758364312267653</v>
      </c>
      <c r="BH17" s="259">
        <f>IF(ISNUMBER(((IF(D_I="SI",Datos!L17/Datos!K17,(Datos!L17+Datos!AF17)/(Datos!K17+Datos!AE17)))*11)/factor_trimestre),((IF(D_I="SI",Datos!L17/Datos!K17,(Datos!L17+Datos!AF17)/(Datos!K17+Datos!AE17)))*11)/factor_trimestre," - ")</f>
        <v>2.0460526315789473</v>
      </c>
      <c r="BI17" s="242">
        <f>IF(ISNUMBER('Resol  Asuntos'!D17/NºAsuntos!G17),'Resol  Asuntos'!D17/NºAsuntos!G17," - ")</f>
        <v>0.1118421052631579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1962</v>
      </c>
      <c r="G18" s="897">
        <f>SUBTOTAL(9,G15:G17)</f>
        <v>2176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1864</v>
      </c>
      <c r="AC18" s="898">
        <f t="shared" si="4"/>
        <v>68</v>
      </c>
      <c r="AD18" s="898">
        <f t="shared" si="4"/>
        <v>0</v>
      </c>
      <c r="AE18" s="898">
        <f t="shared" si="4"/>
        <v>0</v>
      </c>
      <c r="AF18" s="898">
        <f t="shared" si="4"/>
        <v>2227</v>
      </c>
      <c r="AG18" s="898">
        <f t="shared" si="4"/>
        <v>0</v>
      </c>
      <c r="AH18" s="898">
        <f t="shared" si="4"/>
        <v>0</v>
      </c>
      <c r="AI18" s="898">
        <f t="shared" si="4"/>
        <v>0</v>
      </c>
      <c r="AJ18" s="898">
        <f t="shared" si="4"/>
        <v>0</v>
      </c>
      <c r="AK18" s="898">
        <f t="shared" si="4"/>
        <v>0</v>
      </c>
      <c r="AL18" s="898">
        <f t="shared" si="4"/>
        <v>0</v>
      </c>
      <c r="AM18" s="898">
        <f t="shared" si="4"/>
        <v>413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255</v>
      </c>
      <c r="BD18" s="898">
        <f t="shared" si="4"/>
        <v>996</v>
      </c>
      <c r="BE18" s="898">
        <f t="shared" si="4"/>
        <v>0</v>
      </c>
      <c r="BF18" s="898">
        <f t="shared" si="4"/>
        <v>0</v>
      </c>
      <c r="BG18" s="898">
        <f>IF(ISNUMBER(Datos!K18/Datos!J18),Datos!K18/Datos!J18," - ")</f>
        <v>0.9810526315789474</v>
      </c>
      <c r="BH18" s="902">
        <f>IF(ISNUMBER(((Datos!L18/Datos!K18)*11)/factor_trimestre),((Datos!L18/Datos!K18)*11)/factor_trimestre," - ")</f>
        <v>3.584227467811159</v>
      </c>
      <c r="BI18" s="898">
        <f>SUBTOTAL(9,BI15:BI17)</f>
        <v>0.25860469519121543</v>
      </c>
      <c r="BJ18" s="898">
        <f>SUBTOTAL(9,BJ15:BJ17)</f>
        <v>0</v>
      </c>
      <c r="BK18" s="898">
        <f>SUBTOTAL(9,BK15:BK17)</f>
        <v>0</v>
      </c>
      <c r="BL18" s="898">
        <f>IF(ISNUMBER((I18-AB18+L18)/(F18)),(I18-AB18+L18)/(F18)," - ")</f>
        <v>-0.95005096839959224</v>
      </c>
      <c r="BM18" s="904">
        <f>IF(ISNUMBER((Datos!P18-Datos!Q18)/(Datos!R18-Datos!P18+Datos!Q18)),(Datos!P18-Datos!Q18)/(Datos!R18-Datos!P18+Datos!Q18)," - ")</f>
        <v>7.2727272727272724E-2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2211</v>
      </c>
      <c r="G19" s="819">
        <f t="shared" si="6"/>
        <v>2425</v>
      </c>
      <c r="H19" s="821">
        <f t="shared" si="6"/>
        <v>0</v>
      </c>
      <c r="I19" s="819">
        <f t="shared" si="6"/>
        <v>0</v>
      </c>
      <c r="J19" s="821">
        <f t="shared" si="6"/>
        <v>0</v>
      </c>
      <c r="K19" s="821">
        <f t="shared" si="6"/>
        <v>0</v>
      </c>
      <c r="L19" s="880">
        <f t="shared" si="6"/>
        <v>0</v>
      </c>
      <c r="M19" s="880">
        <f t="shared" si="6"/>
        <v>0</v>
      </c>
      <c r="N19" s="880">
        <f t="shared" si="6"/>
        <v>229</v>
      </c>
      <c r="O19" s="880">
        <f t="shared" si="6"/>
        <v>0</v>
      </c>
      <c r="P19" s="880">
        <f t="shared" si="6"/>
        <v>0</v>
      </c>
      <c r="Q19" s="821">
        <f t="shared" si="6"/>
        <v>783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1902</v>
      </c>
      <c r="AC19" s="820">
        <f t="shared" si="7"/>
        <v>750</v>
      </c>
      <c r="AD19" s="820">
        <f t="shared" si="7"/>
        <v>0</v>
      </c>
      <c r="AE19" s="820">
        <f t="shared" si="7"/>
        <v>0</v>
      </c>
      <c r="AF19" s="827">
        <f t="shared" si="7"/>
        <v>2491</v>
      </c>
      <c r="AG19" s="827">
        <f t="shared" si="7"/>
        <v>0</v>
      </c>
      <c r="AH19" s="827">
        <f t="shared" si="7"/>
        <v>392</v>
      </c>
      <c r="AI19" s="827">
        <f t="shared" si="7"/>
        <v>0</v>
      </c>
      <c r="AJ19" s="820">
        <f t="shared" si="7"/>
        <v>0</v>
      </c>
      <c r="AK19" s="827">
        <f t="shared" si="7"/>
        <v>0</v>
      </c>
      <c r="AL19" s="827">
        <f t="shared" si="7"/>
        <v>0</v>
      </c>
      <c r="AM19" s="827">
        <f t="shared" si="7"/>
        <v>7136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889</v>
      </c>
      <c r="BD19" s="819">
        <f t="shared" si="7"/>
        <v>1441</v>
      </c>
      <c r="BE19" s="819">
        <f t="shared" si="7"/>
        <v>0</v>
      </c>
      <c r="BF19" s="829">
        <f t="shared" si="7"/>
        <v>0</v>
      </c>
      <c r="BG19" s="914">
        <f>IF(ISNUMBER(Datos!K19/Datos!J19),Datos!K19/Datos!J19," - ")</f>
        <v>1.1601483479433581</v>
      </c>
      <c r="BH19" s="914">
        <f>IF(ISNUMBER(((Datos!L19/Datos!K19)*11)/factor_trimestre),((Datos!L19/Datos!K19)*11)/factor_trimestre," - ")</f>
        <v>4.885789014821273</v>
      </c>
      <c r="BI19" s="812">
        <f>IF(ISNUMBER(Datos!J19/Datos!I19),Datos!J19/Datos!I19," - ")</f>
        <v>0.48911609498680741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-0.86024423337856171</v>
      </c>
      <c r="BM19" s="888">
        <f>IF(ISNUMBER((Datos!P19-Datos!Q19+R19)/(Datos!R19-Datos!P19+Datos!Q19-R19)),(Datos!P19-Datos!Q19+R19)/(Datos!R19-Datos!P19+Datos!Q19-R19)," - ")</f>
        <v>4.6459242573560471E-3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808.33333333333337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964.47825273564365</v>
      </c>
      <c r="G21" s="551">
        <f>IF(ISNUMBER(STDEV(G8:G18)),STDEV(G8:G18),"-")</f>
        <v>959.50105089398778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800.75064782989716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261.96823689687488</v>
      </c>
      <c r="BD21" s="550"/>
      <c r="BE21" s="550">
        <f>IF(ISNUMBER(STDEV(BE8:BE18)),STDEV(BE8:BE18),"-")</f>
        <v>0</v>
      </c>
      <c r="BF21" s="555">
        <f>IF(ISNUMBER(STDEV(BF8:BF18)),STDEV(BF8:BF18),"-")</f>
        <v>0</v>
      </c>
      <c r="BG21" s="774">
        <f>IF(ISNUMBER(STDEV(BG8:BG18)),STDEV(BG8:BG18),"-")</f>
        <v>7.1905438558542061</v>
      </c>
      <c r="BH21" s="775">
        <f>IF(ISNUMBER(STDEV(BH8:BH18)),STDEV(BH8:BH18),"-")</f>
        <v>6.2629819018454906</v>
      </c>
      <c r="BI21" s="248">
        <f>IF(ISNUMBER(STDEV(BI8:BI18)),STDEV(BI8:BI18),"-")</f>
        <v>0.13693917419818757</v>
      </c>
      <c r="BJ21" s="229" t="str">
        <f>IF(ISNUMBER(BL21/BM21),BL21/BM21," - ")</f>
        <v xml:space="preserve"> - </v>
      </c>
      <c r="BK21" s="574"/>
      <c r="BL21" s="558">
        <f>IF(ISNUMBER(STDEV(BL8:BL18)),STDEV(BL8:BL18),"-")</f>
        <v>0.56387560397482939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HEBgal55jOFPnbsGv/66e+uXxMqzeWlmfNZaX/I2/cP31f6QjGpSnnkbsLYaliM7dtaiAYGdSOZey3fv3A8wA==" saltValue="kh9a1PDLlBzg6JJ9ANeN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CACERES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678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579</v>
      </c>
      <c r="AA9" s="331" t="str">
        <f>IF(ISNUMBER(IF(J_V="SI",Datos!L9,Datos!L9+Datos!AB9)-IF(Monitorios="SI",Datos!CD9,0)),
                          IF(J_V="SI",Datos!L9,Datos!L9+Datos!AB9)-IF(Monitorios="SI",Datos!CD9,0),
                          " - ")</f>
        <v xml:space="preserve"> - </v>
      </c>
      <c r="AB9" s="333"/>
      <c r="AC9" s="333"/>
      <c r="AD9" s="483"/>
      <c r="AE9" s="483">
        <f>IF(ISNUMBER(Datos!R9),Datos!R9," - ")</f>
        <v>4940</v>
      </c>
      <c r="AF9" s="228" t="str">
        <f>IF(ISNUMBER(Datos!BV9),Datos!BV9," - ")</f>
        <v xml:space="preserve"> - </v>
      </c>
      <c r="AG9" s="224" t="str">
        <f>IF(ISNUMBER(Datos!DV9),Datos!DV9," - ")</f>
        <v xml:space="preserve"> - </v>
      </c>
      <c r="AH9" s="297"/>
      <c r="AI9" s="226"/>
      <c r="AJ9" s="224">
        <f>IF(ISNUMBER(Datos!M9),Datos!M9," - ")</f>
        <v>603</v>
      </c>
      <c r="AK9" s="228">
        <f>IF(ISNUMBER(Datos!N9),Datos!N9," - ")</f>
        <v>435</v>
      </c>
      <c r="AL9" s="228" t="str">
        <f>IF(ISNUMBER(Datos!BW9),Datos!BW9," - ")</f>
        <v xml:space="preserve"> - </v>
      </c>
      <c r="AM9" s="227" t="str">
        <f>IF(ISNUMBER(Datos!BX9),Datos!BX9," - ")</f>
        <v xml:space="preserve"> - </v>
      </c>
      <c r="AN9" s="242"/>
      <c r="AO9" s="259">
        <f>IF(ISNUMBER(((NºAsuntos!I9/NºAsuntos!G9)*11)/factor_trimestre),((NºAsuntos!I9/NºAsuntos!G9)*11)/factor_trimestre," - ")</f>
        <v>5.963583815028902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2.0450320181780623E-2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249</v>
      </c>
      <c r="G10" s="224">
        <f>IF(ISNUMBER(Datos!I10),Datos!I10," - ")</f>
        <v>249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1</v>
      </c>
      <c r="AA10" s="331">
        <f>IF(ISNUMBER(Datos!L10),Datos!L10,"-")</f>
        <v>264</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27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20.842105263157894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0.4375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v>
      </c>
      <c r="AA12" s="331" t="str">
        <f>IF(ISNUMBER(IF(J_V="SI",Datos!L12,Datos!L12+Datos!AB12)-IF(Monitorios="SI",Datos!CD12,0)),
                          IF(J_V="SI",Datos!L12,Datos!L12+Datos!AB12)-IF(Monitorios="SI",Datos!CD12,0),
                          " - ")</f>
        <v xml:space="preserve"> - </v>
      </c>
      <c r="AB12" s="333"/>
      <c r="AC12" s="333"/>
      <c r="AD12" s="483"/>
      <c r="AE12" s="483">
        <f>IF(ISNUMBER(Datos!R12),Datos!R12," - ")</f>
        <v>1760</v>
      </c>
      <c r="AF12" s="228" t="str">
        <f>IF(ISNUMBER(Datos!BV12),Datos!BV12," - ")</f>
        <v xml:space="preserve"> - </v>
      </c>
      <c r="AG12" s="224" t="str">
        <f>IF(ISNUMBER(Datos!DV12),Datos!DV12," - ")</f>
        <v xml:space="preserve"> - </v>
      </c>
      <c r="AH12" s="297"/>
      <c r="AI12" s="226"/>
      <c r="AJ12" s="224">
        <f>IF(ISNUMBER(Datos!M12),Datos!M12," - ")</f>
        <v>4</v>
      </c>
      <c r="AK12" s="228">
        <f>IF(ISNUMBER(Datos!N12),Datos!N12," - ")</f>
        <v>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13.200000000000003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-5.4271896829661471E-2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249</v>
      </c>
      <c r="G13" s="897">
        <f>SUBTOTAL(9,G8:G12)</f>
        <v>249</v>
      </c>
      <c r="H13" s="907"/>
      <c r="I13" s="897">
        <f t="shared" ref="I13:N13" si="0">SUBTOTAL(9,I8:I12)</f>
        <v>0</v>
      </c>
      <c r="J13" s="866">
        <f t="shared" si="0"/>
        <v>0</v>
      </c>
      <c r="K13" s="907">
        <f t="shared" si="0"/>
        <v>0</v>
      </c>
      <c r="L13" s="907">
        <f t="shared" si="0"/>
        <v>0</v>
      </c>
      <c r="M13" s="907">
        <f t="shared" si="0"/>
        <v>0</v>
      </c>
      <c r="N13" s="907">
        <f t="shared" si="0"/>
        <v>687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682</v>
      </c>
      <c r="AA13" s="899">
        <f t="shared" si="2"/>
        <v>264</v>
      </c>
      <c r="AB13" s="899">
        <f t="shared" si="2"/>
        <v>0</v>
      </c>
      <c r="AC13" s="899">
        <f t="shared" si="2"/>
        <v>0</v>
      </c>
      <c r="AD13" s="899">
        <f t="shared" si="2"/>
        <v>0</v>
      </c>
      <c r="AE13" s="899">
        <f t="shared" si="2"/>
        <v>6723</v>
      </c>
      <c r="AF13" s="907">
        <f t="shared" si="2"/>
        <v>0</v>
      </c>
      <c r="AG13" s="907">
        <f t="shared" si="2"/>
        <v>0</v>
      </c>
      <c r="AH13" s="907">
        <f t="shared" si="2"/>
        <v>0</v>
      </c>
      <c r="AI13" s="907">
        <f t="shared" si="2"/>
        <v>0</v>
      </c>
      <c r="AJ13" s="907">
        <f t="shared" si="2"/>
        <v>634</v>
      </c>
      <c r="AK13" s="907">
        <f t="shared" si="2"/>
        <v>445</v>
      </c>
      <c r="AL13" s="907">
        <f t="shared" si="2"/>
        <v>0</v>
      </c>
      <c r="AM13" s="907">
        <f t="shared" si="2"/>
        <v>0</v>
      </c>
      <c r="AN13" s="907">
        <f t="shared" si="2"/>
        <v>0</v>
      </c>
      <c r="AO13" s="903">
        <f>IF(ISNUMBER(((NºAsuntos!I13/NºAsuntos!G13)*11)/factor_trimestre),((NºAsuntos!I13/NºAsuntos!G13)*11)/factor_trimestre," - ")</f>
        <v>6.3415591699383072</v>
      </c>
      <c r="AP13" s="909" t="str">
        <f>IF(ISNUMBER(Datos!CI13/Datos!CJ13),Datos!CI13/Datos!CJ13," - ")</f>
        <v xml:space="preserve"> - </v>
      </c>
      <c r="AQ13" s="927">
        <f t="shared" ref="AQ13:AV13" si="3">SUBTOTAL(9,AQ9:AQ12)</f>
        <v>0</v>
      </c>
      <c r="AR13" s="927">
        <f t="shared" si="3"/>
        <v>0.40367842335211912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1912</v>
      </c>
      <c r="G15" s="224">
        <f>IF(ISNUMBER(IF(D_I="SI",Datos!I15,Datos!I15+Datos!AC15)),IF(D_I="SI",Datos!I15,Datos!I15+Datos!AC15)," - ")</f>
        <v>1900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1390</v>
      </c>
      <c r="Z15" s="618">
        <f>IF(ISNUMBER(Datos!Q15),Datos!Q15," - ")</f>
        <v>58</v>
      </c>
      <c r="AA15" s="331">
        <f>IF(ISNUMBER(IF(D_I="SI",Datos!L15,Datos!L15+Datos!AF15)),IF(D_I="SI",Datos!L15,Datos!L15+Datos!AF15)," - ")</f>
        <v>1883</v>
      </c>
      <c r="AB15" s="333"/>
      <c r="AC15" s="333"/>
      <c r="AD15" s="483"/>
      <c r="AE15" s="483">
        <f>IF(ISNUMBER(Datos!R15),Datos!R15," - ")</f>
        <v>372</v>
      </c>
      <c r="AF15" s="228" t="str">
        <f>IF(ISNUMBER(Datos!BV15),Datos!BV15," - ")</f>
        <v xml:space="preserve"> - </v>
      </c>
      <c r="AG15" s="224"/>
      <c r="AH15" s="297"/>
      <c r="AI15" s="226"/>
      <c r="AJ15" s="224">
        <f>IF(ISNUMBER(Datos!M15),Datos!M15," - ")</f>
        <v>204</v>
      </c>
      <c r="AK15" s="228">
        <f>IF(ISNUMBER(Datos!N15),Datos!N15," - ")</f>
        <v>775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4.064028776978418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50</v>
      </c>
      <c r="G16" s="224">
        <f>IF(ISNUMBER(IF(D_I="SI",Datos!I16,Datos!I16+Datos!AC16)),IF(D_I="SI",Datos!I16,Datos!I16+Datos!AC16)," - ")</f>
        <v>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v>
      </c>
      <c r="Z16" s="618">
        <f>IF(ISNUMBER(Datos!Q16),Datos!Q16," - ")</f>
        <v>10</v>
      </c>
      <c r="AA16" s="331">
        <f>IF(ISNUMBER(IF(D_I="SI",Datos!L16,Datos!L16+Datos!AF16)),IF(D_I="SI",Datos!L16,Datos!L16+Datos!AF16)," - ")</f>
        <v>33</v>
      </c>
      <c r="AB16" s="333"/>
      <c r="AC16" s="333"/>
      <c r="AD16" s="483"/>
      <c r="AE16" s="483">
        <f>IF(ISNUMBER(Datos!R16),Datos!R16," - ")</f>
        <v>23</v>
      </c>
      <c r="AF16" s="228" t="str">
        <f>IF(ISNUMBER(Datos!BV16),Datos!BV16," - ")</f>
        <v xml:space="preserve"> - </v>
      </c>
      <c r="AG16" s="224"/>
      <c r="AH16" s="297"/>
      <c r="AI16" s="226"/>
      <c r="AJ16" s="224">
        <f>IF(ISNUMBER(Datos!M16),Datos!M16," - ")</f>
        <v>0</v>
      </c>
      <c r="AK16" s="228">
        <f>IF(ISNUMBER(Datos!N16),Datos!N16," - ")</f>
        <v>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456</v>
      </c>
      <c r="Z17" s="618">
        <f>IF(ISNUMBER(Datos!Q17),Datos!Q17," - ")</f>
        <v>0</v>
      </c>
      <c r="AA17" s="331">
        <f>IF(ISNUMBER(Datos!L17),Datos!L17,"-")</f>
        <v>311</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51</v>
      </c>
      <c r="AK17" s="228">
        <f>IF(ISNUMBER(Datos!N17),Datos!N17," - ")</f>
        <v>216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2.0460526315789473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1962</v>
      </c>
      <c r="G18" s="897">
        <f>SUBTOTAL(9,G15:G17)</f>
        <v>2176</v>
      </c>
      <c r="H18" s="931">
        <f>SUBTOTAL(9,H15:H17)</f>
        <v>0</v>
      </c>
      <c r="I18" s="910">
        <f>SUBTOTAL(9,I15:I17)</f>
        <v>0</v>
      </c>
      <c r="J18" s="866">
        <f>SUBTOTAL(9,J14:J17)</f>
        <v>0</v>
      </c>
      <c r="K18" s="931">
        <f t="shared" ref="K18:S18" si="4">SUBTOTAL(9,K15:K17)</f>
        <v>0</v>
      </c>
      <c r="L18" s="931">
        <f t="shared" si="4"/>
        <v>0</v>
      </c>
      <c r="M18" s="931">
        <f t="shared" si="4"/>
        <v>0</v>
      </c>
      <c r="N18" s="931">
        <f t="shared" si="4"/>
        <v>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1864</v>
      </c>
      <c r="Z18" s="931">
        <f t="shared" si="5"/>
        <v>68</v>
      </c>
      <c r="AA18" s="931">
        <f t="shared" si="5"/>
        <v>2227</v>
      </c>
      <c r="AB18" s="931">
        <f t="shared" si="5"/>
        <v>0</v>
      </c>
      <c r="AC18" s="931">
        <f t="shared" si="5"/>
        <v>0</v>
      </c>
      <c r="AD18" s="931">
        <f t="shared" si="5"/>
        <v>0</v>
      </c>
      <c r="AE18" s="931">
        <f t="shared" si="5"/>
        <v>413</v>
      </c>
      <c r="AF18" s="931">
        <f t="shared" si="5"/>
        <v>0</v>
      </c>
      <c r="AG18" s="931">
        <f t="shared" si="5"/>
        <v>0</v>
      </c>
      <c r="AH18" s="931">
        <f t="shared" si="5"/>
        <v>0</v>
      </c>
      <c r="AI18" s="931">
        <f t="shared" si="5"/>
        <v>0</v>
      </c>
      <c r="AJ18" s="931">
        <f t="shared" si="5"/>
        <v>255</v>
      </c>
      <c r="AK18" s="931">
        <f t="shared" si="5"/>
        <v>996</v>
      </c>
      <c r="AL18" s="931">
        <f t="shared" si="5"/>
        <v>0</v>
      </c>
      <c r="AM18" s="931">
        <f t="shared" si="5"/>
        <v>0</v>
      </c>
      <c r="AN18" s="931">
        <f t="shared" si="5"/>
        <v>0</v>
      </c>
      <c r="AO18" s="933">
        <f>IF(ISNUMBER(((NºAsuntos!I18/NºAsuntos!G18)*11)/factor_trimestre),((NºAsuntos!I18/NºAsuntos!G18)*11)/factor_trimestre," - ")</f>
        <v>3.584227467811159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2211</v>
      </c>
      <c r="G19" s="819">
        <f t="shared" si="7"/>
        <v>2425</v>
      </c>
      <c r="H19" s="820">
        <f t="shared" si="7"/>
        <v>0</v>
      </c>
      <c r="I19" s="819">
        <f t="shared" si="7"/>
        <v>0</v>
      </c>
      <c r="J19" s="821">
        <f t="shared" si="7"/>
        <v>0</v>
      </c>
      <c r="K19" s="819">
        <f t="shared" si="7"/>
        <v>0</v>
      </c>
      <c r="L19" s="822">
        <f t="shared" si="7"/>
        <v>0</v>
      </c>
      <c r="M19" s="819">
        <f t="shared" si="7"/>
        <v>0</v>
      </c>
      <c r="N19" s="820">
        <f t="shared" si="7"/>
        <v>783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1902</v>
      </c>
      <c r="Z19" s="826">
        <f t="shared" si="8"/>
        <v>750</v>
      </c>
      <c r="AA19" s="827">
        <f t="shared" si="8"/>
        <v>2491</v>
      </c>
      <c r="AB19" s="827">
        <f t="shared" si="8"/>
        <v>0</v>
      </c>
      <c r="AC19" s="827">
        <f t="shared" si="8"/>
        <v>0</v>
      </c>
      <c r="AD19" s="828">
        <f t="shared" si="8"/>
        <v>0</v>
      </c>
      <c r="AE19" s="828">
        <f t="shared" si="8"/>
        <v>7136</v>
      </c>
      <c r="AF19" s="829">
        <f t="shared" si="8"/>
        <v>0</v>
      </c>
      <c r="AG19" s="830">
        <f t="shared" si="8"/>
        <v>0</v>
      </c>
      <c r="AH19" s="831">
        <f t="shared" si="8"/>
        <v>0</v>
      </c>
      <c r="AI19" s="829">
        <f t="shared" si="8"/>
        <v>0</v>
      </c>
      <c r="AJ19" s="819">
        <f t="shared" si="8"/>
        <v>889</v>
      </c>
      <c r="AK19" s="819">
        <f t="shared" si="8"/>
        <v>1441</v>
      </c>
      <c r="AL19" s="819">
        <f t="shared" si="8"/>
        <v>0</v>
      </c>
      <c r="AM19" s="832">
        <f t="shared" si="8"/>
        <v>0</v>
      </c>
      <c r="AN19" s="822">
        <f>IF(ISNUMBER(Datos!K19/Datos!J19),Datos!K19/Datos!J19," - ")</f>
        <v>1.1601483479433581</v>
      </c>
      <c r="AO19" s="822">
        <f>IF(ISNUMBER(FIND("06",Criterios!A8,1)),(IF(ISNUMBER(((Datos!R19/Datos!Q19)*11)/factor_trimestre),((Datos!R19/Datos!Q19)*11)/factor_trimestre," - ")),(IF(ISNUMBER(((Datos!L19/Datos!K19)*11)/factor_trimestre),((Datos!L19/Datos!K19)*11)/factor_trimestre," - ")))</f>
        <v>4.885789014821273</v>
      </c>
      <c r="AP19" s="833" t="str">
        <f>IF(ISNUMBER(Datos!CI19/Datos!CJ19),Datos!CI19/Datos!CJ19," - ")</f>
        <v xml:space="preserve"> - </v>
      </c>
      <c r="AQ19" s="833">
        <f>IF(OR(ISNUMBER(FIND("01",Criterios!A8,1)),ISNUMBER(FIND("02",Criterios!A8,1)),ISNUMBER(FIND("03",Criterios!A8,1)),ISNUMBER(FIND("04",Criterios!A8,1))),(J19-Y19+K19)/(F19-K19),(I19-Y19+K19)/(F19-K19))</f>
        <v>-0.86024423337856171</v>
      </c>
      <c r="AR19" s="833">
        <f>IF(ISNUMBER((Datos!P19-Datos!Q19+O19)/(Datos!R19-Datos!P19+Datos!Q19-O19)),(Datos!P19-Datos!Q19+O19)/(Datos!R19-Datos!P19+Datos!Q19-O19)," - ")</f>
        <v>4.6459242573560471E-3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808.33333333333337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964.47825273564365</v>
      </c>
      <c r="G21" s="551">
        <f>IF(ISNUMBER(STDEV(G8:G18)),STDEV(G8:G18),"-")</f>
        <v>959.50105089398778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261.96823689687488</v>
      </c>
      <c r="AK21" s="251"/>
      <c r="AL21" s="251">
        <f>IF(ISNUMBER(STDEV(AL8:AL18)),STDEV(AL8:AL18),"-")</f>
        <v>0</v>
      </c>
      <c r="AM21" s="253">
        <f>IF(ISNUMBER(STDEV(AM8:AM18)),STDEV(AM8:AM18),"-")</f>
        <v>0</v>
      </c>
      <c r="AN21" s="538">
        <f>IF(ISNUMBER(STDEV(AN8:AN18)),STDEV(AN8:AN18),"-")</f>
        <v>0</v>
      </c>
      <c r="AO21" s="539">
        <f>IF(ISNUMBER(STDEV(AO8:AO18)),STDEV(AO8:AO18),"-")</f>
        <v>6.2654608492473027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v113WOh8HiGBBdSkNOREPShH1SW/5kBcTr4YDaNVEFhpNnqMGaEtkkPpBKkQIH0DIr9D6e7Un3beDDcM3ld3A==" saltValue="XCXwrb+nV5z5Cs4HAXiw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FXxJ4PE9oHkqnF/AEAW0kKGwfUR/czvvGlTnfZqa4Xphlbrqi9EB5CfRGERfvb8dbsDW8v2xLv7lolZAe5KFg==" saltValue="8U1RKjQ16Pbjf+RVbOEc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qdpMkfGVG7CGICRXeQj6KvneMQ9ltCQX44MZtuNya0t2NhzZTpYxkUXD5FR0qLNL+2U/q1ZT4XxN8ZfWwcbA==" saltValue="HSGK8lvxGUD6wyGBMaj4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0.35558048233314637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0.25143337031535112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VhHY3MahLRtkJnj0cd14k1S1xGz+EcSbcHSd8lVlFxX0rqflvKZWPZPFPlFXUMBZLHqKM8cDycpBRbjX6DE/w==" saltValue="jBWFoVXDh9D3bJW8HUxJ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5QRtMpxs+LgkZJGyJ26pOYyAP3qNvwSWQkjBbfdvlNkanCLeEsrDMdXld1Aotix8iTFOeE2kDhbhY+TFwH5V7Q==" saltValue="OnhHsdf+KV8wJY9+euwA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CACERES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3928</v>
      </c>
      <c r="D9" s="403">
        <f>IF(ISNUMBER(C9/Datos!BH9),C9/Datos!BH9," - ")</f>
        <v>785.6</v>
      </c>
      <c r="E9" s="402">
        <f>IF(ISNUMBER(IF(J_V="SI",Datos!J9,Datos!J9+Datos!Z9)),IF(J_V="SI",Datos!J9,Datos!J9+Datos!Z9)," - ")</f>
        <v>1241</v>
      </c>
      <c r="F9" s="403">
        <f>IF(ISNUMBER(E9/B9),E9/B9," - ")</f>
        <v>248.2</v>
      </c>
      <c r="G9" s="402">
        <f>IF(ISNUMBER(IF(J_V="SI",Datos!K9,Datos!K9+Datos!AA9)),IF(J_V="SI",Datos!K9,Datos!K9+Datos!AA9)," - ")</f>
        <v>1730</v>
      </c>
      <c r="H9" s="403">
        <f>IF(ISNUMBER(G9/B9),G9/B9," - ")</f>
        <v>346</v>
      </c>
      <c r="I9" s="402">
        <f>IF(ISNUMBER(IF(J_V="SI",Datos!L9,Datos!L9+Datos!AB9)),IF(J_V="SI",Datos!L9,Datos!L9+Datos!AB9)," - ")</f>
        <v>3439</v>
      </c>
      <c r="J9" s="403">
        <f>IF(ISNUMBER(I9/B9),I9/B9," - ")</f>
        <v>687.8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249</v>
      </c>
      <c r="D10" s="403">
        <f>IF(ISNUMBER(C10/Datos!BH10),C10/Datos!BH10," - ")</f>
        <v>124.5</v>
      </c>
      <c r="E10" s="402">
        <f>IF(ISNUMBER(Datos!J10),Datos!J10," - ")</f>
        <v>53</v>
      </c>
      <c r="F10" s="403">
        <f>IF(ISNUMBER(E10/B10),E10/B10," - ")</f>
        <v>26.5</v>
      </c>
      <c r="G10" s="402">
        <f>IF(ISNUMBER(Datos!K10),Datos!K10," - ")</f>
        <v>38</v>
      </c>
      <c r="H10" s="403">
        <f>IF(ISNUMBER(G10/B10),G10/B10," - ")</f>
        <v>19</v>
      </c>
      <c r="I10" s="402">
        <f>IF(ISNUMBER(Datos!L10),Datos!L10," - ")</f>
        <v>264</v>
      </c>
      <c r="J10" s="403">
        <f>IF(ISNUMBER(I10/B10),I10/B10," - ")</f>
        <v>132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80</v>
      </c>
      <c r="D12" s="403" t="str">
        <f>IF(ISNUMBER(C12/Datos!BH12),C12/Datos!BH12," - ")</f>
        <v xml:space="preserve"> - </v>
      </c>
      <c r="E12" s="402">
        <f>IF(ISNUMBER(IF(J_V="SI",Datos!J12,Datos!J12+Datos!Z12)),IF(J_V="SI",Datos!J12,Datos!J12+Datos!Z12)," - ")</f>
        <v>1</v>
      </c>
      <c r="F12" s="403" t="str">
        <f>IF(ISNUMBER(E12/B12),E12/B12," - ")</f>
        <v xml:space="preserve"> - </v>
      </c>
      <c r="G12" s="402">
        <f>IF(ISNUMBER(IF(J_V="SI",Datos!K12,Datos!K12+Datos!AA12)),IF(J_V="SI",Datos!K12,Datos!K12+Datos!AA12)," - ")</f>
        <v>15</v>
      </c>
      <c r="H12" s="403" t="str">
        <f>IF(ISNUMBER(G12/B12),G12/B12," - ")</f>
        <v xml:space="preserve"> - </v>
      </c>
      <c r="I12" s="402">
        <f>IF(ISNUMBER(IF(J_V="SI",Datos!L12,Datos!L12+Datos!AB12)),IF(J_V="SI",Datos!L12,Datos!L12+Datos!AB12)," - ")</f>
        <v>66</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4257</v>
      </c>
      <c r="D13" s="849" t="str">
        <f>IF(ISNUMBER(C13/Datos!BI13),C13/Datos!BI13," - ")</f>
        <v xml:space="preserve"> - </v>
      </c>
      <c r="E13" s="848">
        <f>SUBTOTAL(9,E8:E12)</f>
        <v>1295</v>
      </c>
      <c r="F13" s="849">
        <f>IF(ISNUMBER(E13/B13),E13/B13," - ")</f>
        <v>215.83333333333334</v>
      </c>
      <c r="G13" s="848">
        <f>SUBTOTAL(9,G8:G12)</f>
        <v>1783</v>
      </c>
      <c r="H13" s="849">
        <f>IF(ISNUMBER(G13/B13),G13/B13," - ")</f>
        <v>297.16666666666669</v>
      </c>
      <c r="I13" s="848">
        <f>SUBTOTAL(9,I8:I12)</f>
        <v>3769</v>
      </c>
      <c r="J13" s="849">
        <f>IF(ISNUMBER(I13/B13),I13/B13," - ")</f>
        <v>628.16666666666663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1900</v>
      </c>
      <c r="D15" s="403">
        <f>IF(ISNUMBER(C15/Datos!BH15),C15/Datos!BH15," - ")</f>
        <v>633.33333333333337</v>
      </c>
      <c r="E15" s="402">
        <f>IF(ISNUMBER(IF(D_I="SI",Datos!J15,Datos!J15+Datos!AD15)),IF(D_I="SI",Datos!J15,Datos!J15+Datos!AD15)," - ")</f>
        <v>1361</v>
      </c>
      <c r="F15" s="403">
        <f>IF(ISNUMBER(E15/B15),E15/B15," - ")</f>
        <v>453.66666666666669</v>
      </c>
      <c r="G15" s="402">
        <f>IF(ISNUMBER(IF(D_I="SI",Datos!K15,Datos!K15+Datos!AE15)),IF(D_I="SI",Datos!K15,Datos!K15+Datos!AE15)," - ")</f>
        <v>1390</v>
      </c>
      <c r="H15" s="403">
        <f>IF(ISNUMBER(G15/B15),G15/B15," - ")</f>
        <v>463.33333333333331</v>
      </c>
      <c r="I15" s="402">
        <f>IF(ISNUMBER(IF(D_I="SI",Datos!L15,Datos!L15+Datos!AF15)),IF(D_I="SI",Datos!L15,Datos!L15+Datos!AF15)," - ")</f>
        <v>1883</v>
      </c>
      <c r="J15" s="403">
        <f>IF(ISNUMBER(I15/B15),I15/B15," - ")</f>
        <v>627.66666666666663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47</v>
      </c>
      <c r="D16" s="403" t="str">
        <f>IF(ISNUMBER(C16/Datos!BH16),C16/Datos!BH16," - ")</f>
        <v xml:space="preserve"> - </v>
      </c>
      <c r="E16" s="402">
        <f>IF(ISNUMBER(IF(D_I="SI",Datos!J16,Datos!J16+Datos!AD16)),IF(D_I="SI",Datos!J16,Datos!J16+Datos!AD16)," - ")</f>
        <v>1</v>
      </c>
      <c r="F16" s="403" t="str">
        <f>IF(ISNUMBER(E16/B16),E16/B16," - ")</f>
        <v xml:space="preserve"> - </v>
      </c>
      <c r="G16" s="402">
        <f>IF(ISNUMBER(IF(D_I="SI",Datos!K16,Datos!K16+Datos!AE16)),IF(D_I="SI",Datos!K16,Datos!K16+Datos!AE16)," - ")</f>
        <v>18</v>
      </c>
      <c r="H16" s="403" t="str">
        <f>IF(ISNUMBER(G16/B16),G16/B16," - ")</f>
        <v xml:space="preserve"> - </v>
      </c>
      <c r="I16" s="402">
        <f>IF(ISNUMBER(IF(D_I="SI",Datos!L16,Datos!L16+Datos!AF16)),IF(D_I="SI",Datos!L16,Datos!L16+Datos!AF16)," - ")</f>
        <v>33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229</v>
      </c>
      <c r="D17" s="403">
        <f>IF(ISNUMBER(C17/Datos!BH17),C17/Datos!BH17," - ")</f>
        <v>114.5</v>
      </c>
      <c r="E17" s="402">
        <f>IF(ISNUMBER(IF(D_I="SI",Datos!J17,Datos!J17+Datos!AD17)),IF(D_I="SI",Datos!J17,Datos!J17+Datos!AD17)," - ")</f>
        <v>538</v>
      </c>
      <c r="F17" s="403">
        <f>IF(ISNUMBER(E17/B17),E17/B17," - ")</f>
        <v>269</v>
      </c>
      <c r="G17" s="402">
        <f>IF(ISNUMBER(IF(D_I="SI",Datos!K17,Datos!K17+Datos!AE17)),IF(D_I="SI",Datos!K17,Datos!K17+Datos!AE17)," - ")</f>
        <v>456</v>
      </c>
      <c r="H17" s="403">
        <f>IF(ISNUMBER(G17/B17),G17/B17," - ")</f>
        <v>228</v>
      </c>
      <c r="I17" s="402">
        <f>IF(ISNUMBER(IF(D_I="SI",Datos!L17,Datos!L17+Datos!AF17)),IF(D_I="SI",Datos!L17,Datos!L17+Datos!AF17)," - ")</f>
        <v>311</v>
      </c>
      <c r="J17" s="403">
        <f>IF(ISNUMBER(I17/B17),I17/B17," - ")</f>
        <v>155.5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2176</v>
      </c>
      <c r="D18" s="849" t="str">
        <f>IF(ISNUMBER(C18/Datos!BI18),C18/Datos!BI18," - ")</f>
        <v xml:space="preserve"> - </v>
      </c>
      <c r="E18" s="848">
        <f>SUBTOTAL(9,E14:E17)</f>
        <v>1900</v>
      </c>
      <c r="F18" s="849">
        <f>IF(ISNUMBER(E18/B18),E18/B18," - ")</f>
        <v>475</v>
      </c>
      <c r="G18" s="848">
        <f>SUBTOTAL(9,G14:G17)</f>
        <v>1864</v>
      </c>
      <c r="H18" s="849">
        <f>IF(ISNUMBER(G18/B18),G18/B18," - ")</f>
        <v>466</v>
      </c>
      <c r="I18" s="848">
        <f>SUBTOTAL(9,I14:I17)</f>
        <v>2227</v>
      </c>
      <c r="J18" s="849">
        <f>IF(ISNUMBER(I18/B18),I18/B18," - ")</f>
        <v>556.75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6433</v>
      </c>
      <c r="D19" s="794" t="str">
        <f>IF(ISNUMBER(C19/Datos!BI19),C19/Datos!BI19," - ")</f>
        <v xml:space="preserve"> - </v>
      </c>
      <c r="E19" s="793">
        <f>SUBTOTAL(9,E9:E18)</f>
        <v>3195</v>
      </c>
      <c r="F19" s="794">
        <f>IF(ISNUMBER(E19/B19),E19/B19," - ")</f>
        <v>355</v>
      </c>
      <c r="G19" s="793">
        <f>SUBTOTAL(9,G9:G18)</f>
        <v>3647</v>
      </c>
      <c r="H19" s="794">
        <f>IF(ISNUMBER(G19/B19),G19/B19," - ")</f>
        <v>405.22222222222223</v>
      </c>
      <c r="I19" s="793">
        <f>SUBTOTAL(9,I9:I18)</f>
        <v>5996</v>
      </c>
      <c r="J19" s="794">
        <f>IF(ISNUMBER(I19/B19),I19/B19," - ")</f>
        <v>666.22222222222217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Gj9N4d/WDeq3ES81CJU+xuY/8ET7EJ0+SUjMNRBABbMRQNJg+rCPH5ARWE5GmolZXhLKCos+a4dcb6ShZdHow==" saltValue="Z0WJJp8/7NvgPOafEVV+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CACERES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249</v>
      </c>
      <c r="G10" s="683">
        <f>IF(ISNUMBER(Datos!I10),Datos!I10," - ")</f>
        <v>249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264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27</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20.842105263157894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v>
      </c>
      <c r="AM12" s="689">
        <f>IF(ISNUMBER(Datos!N12+DatosP!N16),Datos!N12+DatosP!N16," - ")</f>
        <v>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13.200000000000003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-5.4271896829661471E-2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249</v>
      </c>
      <c r="G13" s="937">
        <f t="shared" si="0"/>
        <v>249</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102</v>
      </c>
      <c r="AE13" s="938">
        <f t="shared" si="1"/>
        <v>0</v>
      </c>
      <c r="AF13" s="938">
        <f t="shared" si="1"/>
        <v>264</v>
      </c>
      <c r="AG13" s="938">
        <f t="shared" si="1"/>
        <v>0</v>
      </c>
      <c r="AH13" s="938">
        <f t="shared" si="1"/>
        <v>1760</v>
      </c>
      <c r="AI13" s="938">
        <f t="shared" si="1"/>
        <v>0</v>
      </c>
      <c r="AJ13" s="938">
        <f t="shared" si="1"/>
        <v>0</v>
      </c>
      <c r="AK13" s="938">
        <f t="shared" si="1"/>
        <v>0</v>
      </c>
      <c r="AL13" s="938">
        <f t="shared" si="1"/>
        <v>31</v>
      </c>
      <c r="AM13" s="938">
        <f t="shared" si="1"/>
        <v>10</v>
      </c>
      <c r="AN13" s="938">
        <f t="shared" si="1"/>
        <v>0</v>
      </c>
      <c r="AO13" s="938">
        <f t="shared" si="1"/>
        <v>0</v>
      </c>
      <c r="AP13" s="943">
        <f>IF(ISNUMBER(((Datos!L13/Datos!K13)*11)/factor_trimestre),((Datos!L13/Datos!K13)*11)/factor_trimestre," - ")</f>
        <v>6.4242232086239701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-0.15261044176706828</v>
      </c>
      <c r="AU13" s="938" t="str">
        <f>IF(ISNUMBER((DatosP!#REF!-DatosP!#REF!+DatosP!#REF!)/(DatosP!#REF!+DatosP!#REF!-DatosP!#REF!-DatosP!#REF!)),(DatosP!#REF!-DatosP!#REF!+DatosP!#REF!)/(DatosP!#REF!+DatosP!#REF!-DatosP!#REF!-DatosP!#REF!)," - ")</f>
        <v xml:space="preserve"> - </v>
      </c>
      <c r="AV13" s="944">
        <f>SUBTOTAL(9,AV9:AV12)</f>
        <v>-5.4271896829661471E-2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3.584227467811159</v>
      </c>
      <c r="AQ18" s="943">
        <f>IF(ISNUMBER(((Datos!M18/Datos!L18)*11)/factor_trimestre),((Datos!M18/Datos!L18)*11)/factor_trimestre," - ")</f>
        <v>0.34351145038167941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7.2727272727272724E-2</v>
      </c>
      <c r="AW18" s="945">
        <f>IF(ISNUMBER((Datos!Q18-Datos!R18)/(Datos!S18-Datos!Q18+Datos!R18)),(Datos!Q18-Datos!R18)/(Datos!S18-Datos!Q18+Datos!R18)," - ")</f>
        <v>-0.14593908629441624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249</v>
      </c>
      <c r="G19" s="950">
        <f t="shared" si="4"/>
        <v>249</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102</v>
      </c>
      <c r="AE19" s="956">
        <f t="shared" si="5"/>
        <v>0</v>
      </c>
      <c r="AF19" s="957">
        <f t="shared" si="5"/>
        <v>264</v>
      </c>
      <c r="AG19" s="957">
        <f t="shared" si="5"/>
        <v>0</v>
      </c>
      <c r="AH19" s="957">
        <f t="shared" si="5"/>
        <v>1760</v>
      </c>
      <c r="AI19" s="957">
        <f t="shared" si="5"/>
        <v>0</v>
      </c>
      <c r="AJ19" s="958">
        <f t="shared" si="5"/>
        <v>0</v>
      </c>
      <c r="AK19" s="958">
        <f t="shared" si="5"/>
        <v>0</v>
      </c>
      <c r="AL19" s="950">
        <f t="shared" si="5"/>
        <v>31</v>
      </c>
      <c r="AM19" s="950">
        <f t="shared" si="5"/>
        <v>10</v>
      </c>
      <c r="AN19" s="950">
        <f t="shared" si="5"/>
        <v>0</v>
      </c>
      <c r="AO19" s="950">
        <f t="shared" si="5"/>
        <v>0</v>
      </c>
      <c r="AP19" s="950">
        <f>IF(ISNUMBER(((Datos!L19/Datos!K19)*11)/factor_trimestre),((Datos!L19/Datos!K19)*11)/factor_trimestre," - ")</f>
        <v>4.885789014821273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-0.15261044176706828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4.6459242573560471E-3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143.76021702821683</v>
      </c>
      <c r="G21" s="736">
        <f>IF(ISNUMBER(STDEV(G8:G18)),STDEV(G8:G18),"-")</f>
        <v>143.76021702821683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15.758595538097085</v>
      </c>
      <c r="AM21" s="735"/>
      <c r="AN21" s="735">
        <f>IF(ISNUMBER(STDEV(AN8:AN18)),STDEV(AN8:AN18),"-")</f>
        <v>0</v>
      </c>
      <c r="AO21" s="741">
        <f>IF(ISNUMBER(STDEV(AO8:AO18)),STDEV(AO8:AO18),"-")</f>
        <v>0</v>
      </c>
      <c r="AP21" s="778">
        <f>IF(ISNUMBER(STDEV(AP8:AP18)),STDEV(AP8:AP18),"-")</f>
        <v>7.6949726559831531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R2HeTbHYhmOc+TEs9UZZj/AudxO6zea5MMexp/8MUoFIgJKIPyf5c4JFDF4pnP9Fjbe09frWIi8vRzlmYgvPw==" saltValue="FZcrB2M40tflHCOWpW7Y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CACERES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E4IOjGhPgjenMnu/7ppwBUcQd+caKJZMNdEgIF28jO4fY2HKz+l2O1yyqkjJahhx+fXFLqoi5ENKhcQDjiUWQ==" saltValue="ZO9//MSiBAGPflNImJG5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CACERES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603</v>
      </c>
      <c r="E9" s="403">
        <f t="shared" ref="E9:E13" si="0">IF(ISNUMBER(D9/B9),D9/B9," - ")</f>
        <v>120.6</v>
      </c>
      <c r="F9" s="402">
        <f>IF(ISNUMBER(Datos!N9),Datos!N9," - ")</f>
        <v>435</v>
      </c>
      <c r="G9" s="403">
        <f t="shared" ref="G9:G13" si="1">IF(ISNUMBER(F9/B9),F9/B9," - ")</f>
        <v>87</v>
      </c>
      <c r="H9" s="402">
        <f>IF(ISNUMBER(Datos!O9),Datos!O9," - ")</f>
        <v>832</v>
      </c>
      <c r="I9" s="403">
        <f>IF(ISNUMBER(H9/B9),H9/B9," - ")</f>
        <v>166.4</v>
      </c>
      <c r="BZ9" s="1185">
        <f>Datos!EZ9</f>
        <v>0</v>
      </c>
    </row>
    <row r="10" spans="1:78">
      <c r="A10" s="401" t="str">
        <f>Datos!A10</f>
        <v>Jdos. Violencia contra la mujer/Secc Viol. TI.</v>
      </c>
      <c r="B10" s="426">
        <f>Datos!AO10</f>
        <v>2</v>
      </c>
      <c r="C10" s="409">
        <f>Datos!AQ10</f>
        <v>1</v>
      </c>
      <c r="D10" s="402">
        <f>IF(ISNUMBER(Datos!M10),Datos!M10," - ")</f>
        <v>27</v>
      </c>
      <c r="E10" s="403">
        <f>IF(ISNUMBER(D10/B10),D10/B10," - ")</f>
        <v>13.5</v>
      </c>
      <c r="F10" s="402">
        <f>IF(ISNUMBER(Datos!N10),Datos!N10," - ")</f>
        <v>2</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4</v>
      </c>
      <c r="E12" s="403" t="str">
        <f t="shared" si="0"/>
        <v xml:space="preserve"> - </v>
      </c>
      <c r="F12" s="402">
        <f>IF(ISNUMBER(Datos!N12),Datos!N12," - ")</f>
        <v>8</v>
      </c>
      <c r="G12" s="403" t="str">
        <f t="shared" si="1"/>
        <v xml:space="preserve"> - </v>
      </c>
      <c r="H12" s="402">
        <f>IF(ISNUMBER(Datos!O12),Datos!O12," - ")</f>
        <v>51</v>
      </c>
      <c r="I12" s="403" t="str">
        <f t="shared" si="2"/>
        <v xml:space="preserve"> - </v>
      </c>
      <c r="BZ12" s="1185">
        <f>Datos!EZ12</f>
        <v>0</v>
      </c>
    </row>
    <row r="13" spans="1:78" ht="14.25" thickTop="1" thickBot="1">
      <c r="A13" s="847" t="str">
        <f>Datos!A13</f>
        <v>TOTAL</v>
      </c>
      <c r="B13" s="848">
        <f>Datos!AP13</f>
        <v>6</v>
      </c>
      <c r="C13" s="850">
        <f>Datos!AR13</f>
        <v>6</v>
      </c>
      <c r="D13" s="848">
        <f>SUBTOTAL(9,D9:D12)</f>
        <v>634</v>
      </c>
      <c r="E13" s="849">
        <f t="shared" si="0"/>
        <v>105.66666666666667</v>
      </c>
      <c r="F13" s="848">
        <f>SUBTOTAL(9,F9:F12)</f>
        <v>445</v>
      </c>
      <c r="G13" s="849">
        <f t="shared" si="1"/>
        <v>74.166666666666671</v>
      </c>
      <c r="H13" s="848">
        <f>SUBTOTAL(9,H9:H12)</f>
        <v>883</v>
      </c>
      <c r="I13" s="849">
        <f>IF(ISNUMBER(H13/B13),H13/B13," - ")</f>
        <v>147.16666666666666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204</v>
      </c>
      <c r="E15" s="403">
        <f t="shared" ref="E15:E18" si="3">IF(ISNUMBER(D15/B15),D15/B15," - ")</f>
        <v>68</v>
      </c>
      <c r="F15" s="402">
        <f>IF(ISNUMBER(Datos!N15),Datos!N15," - ")</f>
        <v>775</v>
      </c>
      <c r="G15" s="403">
        <f t="shared" ref="G15:G18" si="4">IF(ISNUMBER(F15/B15),F15/B15," - ")</f>
        <v>258.33333333333331</v>
      </c>
      <c r="H15" s="402">
        <f>IF(ISNUMBER(Datos!O15),Datos!O15," - ")</f>
        <v>30</v>
      </c>
      <c r="I15" s="403">
        <f t="shared" ref="I15:I17" si="5">IF(ISNUMBER(H15/B15),H15/B15," - ")</f>
        <v>10</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5</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51</v>
      </c>
      <c r="E17" s="403">
        <f>IF(ISNUMBER(D17/B17),D17/B17," - ")</f>
        <v>25.5</v>
      </c>
      <c r="F17" s="402">
        <f>IF(ISNUMBER(Datos!N17),Datos!N17," - ")</f>
        <v>216</v>
      </c>
      <c r="G17" s="403">
        <f>IF(ISNUMBER(F17/B17),F17/B17," - ")</f>
        <v>108</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255</v>
      </c>
      <c r="E18" s="849">
        <f t="shared" si="3"/>
        <v>63.75</v>
      </c>
      <c r="F18" s="848">
        <f>SUBTOTAL(9,F15:F17)</f>
        <v>996</v>
      </c>
      <c r="G18" s="849">
        <f t="shared" si="4"/>
        <v>249</v>
      </c>
      <c r="H18" s="848">
        <f>SUBTOTAL(9,H15:H17)</f>
        <v>30</v>
      </c>
      <c r="I18" s="849">
        <f>IF(ISNUMBER(H18/B18),H18/B18," - ")</f>
        <v>7.5</v>
      </c>
      <c r="BZ18" s="1185"/>
    </row>
    <row r="19" spans="1:78" ht="14.25" thickTop="1" thickBot="1">
      <c r="A19" s="792" t="str">
        <f>Datos!A19</f>
        <v>TOTAL JURISDICCIONES</v>
      </c>
      <c r="B19" s="793">
        <f>Datos!AP19</f>
        <v>9</v>
      </c>
      <c r="C19" s="793">
        <f>Datos!AR19</f>
        <v>9</v>
      </c>
      <c r="D19" s="793">
        <f>SUBTOTAL(9,D8:D18)</f>
        <v>889</v>
      </c>
      <c r="E19" s="794">
        <f>IF(ISNUMBER(D19/B19),D19/B19," - ")</f>
        <v>98.777777777777771</v>
      </c>
      <c r="F19" s="793">
        <f>SUBTOTAL(9,F8:F18)</f>
        <v>1441</v>
      </c>
      <c r="G19" s="794">
        <f>IF(ISNUMBER(F19/B19),F19/B19," - ")</f>
        <v>160.11111111111111</v>
      </c>
      <c r="H19" s="793">
        <f>SUBTOTAL(9,H8:H18)</f>
        <v>913</v>
      </c>
      <c r="I19" s="794">
        <f>IF(ISNUMBER(H19/B19),H19/B19," - ")</f>
        <v>101.44444444444444</v>
      </c>
    </row>
    <row r="22" spans="1:78">
      <c r="A22" s="390" t="str">
        <f>Criterios!A4</f>
        <v>Fecha Informe: 17 mar. 2026</v>
      </c>
    </row>
    <row r="27" spans="1:78">
      <c r="A27" s="413"/>
    </row>
  </sheetData>
  <sheetProtection algorithmName="SHA-512" hashValue="kc6C03wDlZazzmSCxQzl05jwigyCZM4JVdHJe79Zf5SYASqeXZO8MMCr9nhQPG97ek1VMDQykC6KLK1vpIO1mw==" saltValue="03AgTbXqMu/koYS4BTxN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CACERES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678</v>
      </c>
      <c r="C9" s="433">
        <f>IF(ISNUMBER(Datos!Q9),Datos!Q9," - ")</f>
        <v>579</v>
      </c>
      <c r="D9" s="407">
        <f>IF(ISNUMBER(Datos!R9),Datos!R9," - ")</f>
        <v>4940</v>
      </c>
    </row>
    <row r="10" spans="1:4">
      <c r="A10" s="401" t="str">
        <f>Datos!A10</f>
        <v>Jdos. Violencia contra la mujer/Secc Viol. TI.</v>
      </c>
      <c r="B10" s="432">
        <f>IF(ISNUMBER(Datos!P10),Datos!P10," - ")</f>
        <v>8</v>
      </c>
      <c r="C10" s="433">
        <f>IF(ISNUMBER(Datos!Q10),Datos!Q10," - ")</f>
        <v>1</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v>
      </c>
      <c r="C12" s="433">
        <f>IF(ISNUMBER(Datos!Q12),Datos!Q12," - ")</f>
        <v>102</v>
      </c>
      <c r="D12" s="407">
        <f>IF(ISNUMBER(Datos!R12),Datos!R12," - ")</f>
        <v>1760</v>
      </c>
    </row>
    <row r="13" spans="1:4" ht="14.25" thickTop="1" thickBot="1">
      <c r="A13" s="847" t="str">
        <f>Datos!A13</f>
        <v>TOTAL</v>
      </c>
      <c r="B13" s="848">
        <f>SUBTOTAL(9,B9:B12)</f>
        <v>687</v>
      </c>
      <c r="C13" s="852">
        <f>SUBTOTAL(9,C9:C12)</f>
        <v>682</v>
      </c>
      <c r="D13" s="850">
        <f>SUBTOTAL(9,D9:D12)</f>
        <v>6723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86</v>
      </c>
      <c r="C15" s="433">
        <f>IF(ISNUMBER(Datos!Q15),Datos!Q15," - ")</f>
        <v>58</v>
      </c>
      <c r="D15" s="407">
        <f>IF(ISNUMBER(Datos!R15),Datos!R15," - ")</f>
        <v>372</v>
      </c>
    </row>
    <row r="16" spans="1:4">
      <c r="A16" s="401" t="str">
        <f>Datos!A16</f>
        <v xml:space="preserve">Jdos. 1ª Instª. e Instr./Secc. Civil y de Inst. TI                      </v>
      </c>
      <c r="B16" s="432">
        <f>IF(ISNUMBER(Datos!P16),Datos!P16," - ")</f>
        <v>0</v>
      </c>
      <c r="C16" s="433">
        <f>IF(ISNUMBER(Datos!Q16),Datos!Q16," - ")</f>
        <v>10</v>
      </c>
      <c r="D16" s="407">
        <f>IF(ISNUMBER(Datos!R16),Datos!R16," - ")</f>
        <v>23</v>
      </c>
    </row>
    <row r="17" spans="1:4" ht="13.5" thickBot="1">
      <c r="A17" s="401" t="str">
        <f>Datos!A17</f>
        <v>Jdos. Violencia contra la mujer/Secc Viol. TI.</v>
      </c>
      <c r="B17" s="432">
        <f>IF(ISNUMBER(Datos!P17),Datos!P17," - ")</f>
        <v>10</v>
      </c>
      <c r="C17" s="433">
        <f>IF(ISNUMBER(Datos!Q17),Datos!Q17," - ")</f>
        <v>0</v>
      </c>
      <c r="D17" s="407">
        <f>IF(ISNUMBER(Datos!R17),Datos!R17," - ")</f>
        <v>18</v>
      </c>
    </row>
    <row r="18" spans="1:4" ht="14.25" thickTop="1" thickBot="1">
      <c r="A18" s="847" t="str">
        <f>Datos!A18</f>
        <v>TOTAL</v>
      </c>
      <c r="B18" s="848">
        <f>SUBTOTAL(9,B15:B17)</f>
        <v>96</v>
      </c>
      <c r="C18" s="852">
        <f>SUBTOTAL(9,C15:C17)</f>
        <v>68</v>
      </c>
      <c r="D18" s="850">
        <f>SUBTOTAL(9,D15:D17)</f>
        <v>413</v>
      </c>
    </row>
    <row r="19" spans="1:4" ht="16.5" customHeight="1" thickTop="1" thickBot="1">
      <c r="A19" s="792" t="str">
        <f>Datos!A19</f>
        <v>TOTAL JURISDICCIONES</v>
      </c>
      <c r="B19" s="797">
        <f>SUBTOTAL(9,B8:B18)</f>
        <v>783</v>
      </c>
      <c r="C19" s="798">
        <f>SUBTOTAL(9,C8:C18)</f>
        <v>750</v>
      </c>
      <c r="D19" s="799">
        <f>SUBTOTAL(9,D8:D18)</f>
        <v>7136</v>
      </c>
    </row>
    <row r="20" spans="1:4" ht="7.5" customHeight="1"/>
    <row r="21" spans="1:4" ht="6" customHeight="1"/>
    <row r="22" spans="1:4">
      <c r="A22" s="390" t="str">
        <f>Criterios!A4</f>
        <v>Fecha Informe: 17 mar. 2026</v>
      </c>
    </row>
    <row r="27" spans="1:4">
      <c r="A27" s="413"/>
    </row>
  </sheetData>
  <sheetProtection algorithmName="SHA-512" hashValue="+M7qMMhZvGUNEaXaAQ0B6fP63BlGTWF+JPWtTHCg4G72Yfa0AhAkkjPPtB7oCKINB0m150N56OmUF+RKk4xNBg==" saltValue="B0bHr8klbcn0GU4Qw0/+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CACERES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0.10089686098654709</v>
      </c>
      <c r="C9" s="455">
        <f>IF(ISNUMBER(
   IF(J_V="SI",(Datos!J9-Datos!T9)/Datos!T9,(Datos!J9+Datos!Z9-(Datos!T9+Datos!AH9))/(Datos!T9+Datos!AH9))
     ),IF(J_V="SI",(Datos!J9-Datos!T9)/Datos!T9,(Datos!J9+Datos!Z9-(Datos!T9+Datos!AH9))/(Datos!T9+Datos!AH9))," - ")</f>
        <v>-0.36129696345856921</v>
      </c>
      <c r="D9" s="455">
        <f>IF(ISNUMBER(
   IF(J_V="SI",(Datos!K9-Datos!U9)/Datos!U9,(Datos!K9+Datos!AA9-(Datos!U9+Datos!AI9))/(Datos!U9+Datos!AI9))
     ),IF(J_V="SI",(Datos!K9-Datos!U9)/Datos!U9,(Datos!K9+Datos!AA9-(Datos!U9+Datos!AI9))/(Datos!U9+Datos!AI9))," - ")</f>
        <v>-0.13715710723192021</v>
      </c>
      <c r="E9" s="455">
        <f>IF(ISNUMBER(
   IF(J_V="SI",(Datos!L9-Datos!V9)/Datos!V9,(Datos!L9+Datos!AB9-(Datos!V9+Datos!AJ9))/(Datos!V9+Datos!AJ9))
     ),IF(J_V="SI",(Datos!L9-Datos!V9)/Datos!V9,(Datos!L9+Datos!AB9-(Datos!V9+Datos!AJ9))/(Datos!V9+Datos!AJ9))," - ")</f>
        <v>-3.6154708520179372E-2</v>
      </c>
      <c r="F9" s="455">
        <f>IF(ISNUMBER((Datos!M9-Datos!W9)/Datos!W9),(Datos!M9-Datos!W9)/Datos!W9," - ")</f>
        <v>-0.28299643281807374</v>
      </c>
      <c r="G9" s="456">
        <f>IF(ISNUMBER((Datos!N9-Datos!X9)/Datos!X9),(Datos!N9-Datos!X9)/Datos!X9," - ")</f>
        <v>-0.19741697416974169</v>
      </c>
      <c r="H9" s="454">
        <f>IF(ISNUMBER(((NºAsuntos!G9/NºAsuntos!E9)-Datos!BD9)/Datos!BD9),((NºAsuntos!G9/NºAsuntos!E9)-Datos!BD9)/Datos!BD9," - ")</f>
        <v>0.35092968625977355</v>
      </c>
      <c r="I9" s="455">
        <f>IF(ISNUMBER(((NºAsuntos!I9/NºAsuntos!G9)-Datos!BE9)/Datos!BE9),((NºAsuntos!I9/NºAsuntos!G9)-Datos!BE9)/Datos!BE9," - ")</f>
        <v>0.11705769330464764</v>
      </c>
      <c r="J9" s="460">
        <f>IF(ISNUMBER((('Resol  Asuntos'!D9/NºAsuntos!G9)-Datos!BF9)/Datos!BF9),(('Resol  Asuntos'!D9/NºAsuntos!G9)-Datos!BF9)/Datos!BF9," - ")</f>
        <v>0.28939594309237898</v>
      </c>
      <c r="K9" s="461">
        <f>IF(ISNUMBER((((NºAsuntos!C9+NºAsuntos!E9)/NºAsuntos!G9)-Datos!BG9)/Datos!BG9),(((NºAsuntos!C9+NºAsuntos!E9)/NºAsuntos!G9)-Datos!BG9)/Datos!BG9," - ")</f>
        <v>8.7037171059877044E-2</v>
      </c>
    </row>
    <row r="10" spans="1:11" ht="21">
      <c r="A10" s="401" t="str">
        <f>Datos!A10</f>
        <v>Jdos. Violencia contra la mujer/Secc Viol. TI.</v>
      </c>
      <c r="B10" s="454">
        <f>IF(ISNUMBER((Datos!I10-Datos!S10)/Datos!S10),(Datos!I10-Datos!S10)/Datos!S10," - ")</f>
        <v>0.19711538461538461</v>
      </c>
      <c r="C10" s="455">
        <f>IF(ISNUMBER((Datos!J10-Datos!T10)/Datos!T10),(Datos!J10-Datos!T10)/Datos!T10," - ")</f>
        <v>0.47222222222222221</v>
      </c>
      <c r="D10" s="455">
        <f>IF(ISNUMBER((Datos!K10-Datos!U10)/Datos!U10),(Datos!K10-Datos!U10)/Datos!U10," - ")</f>
        <v>0.40740740740740738</v>
      </c>
      <c r="E10" s="455">
        <f>IF(ISNUMBER((Datos!L10-Datos!V10)/Datos!V10),(Datos!L10-Datos!V10)/Datos!V10," - ")</f>
        <v>0.21658986175115208</v>
      </c>
      <c r="F10" s="455">
        <f>IF(ISNUMBER((Datos!M10-Datos!W10)/Datos!W10),(Datos!M10-Datos!W10)/Datos!W10," - ")</f>
        <v>0.5</v>
      </c>
      <c r="G10" s="456">
        <f>IF(ISNUMBER((Datos!N10-Datos!X10)/Datos!X10),(Datos!N10-Datos!X10)/Datos!X10," - ")</f>
        <v>-0.75</v>
      </c>
      <c r="H10" s="454">
        <f>IF(ISNUMBER(((NºAsuntos!G10/NºAsuntos!E10)-Datos!BD10)/Datos!BD10),((NºAsuntos!G10/NºAsuntos!E10)-Datos!BD10)/Datos!BD10," - ")</f>
        <v>-4.4025157232704469E-2</v>
      </c>
      <c r="I10" s="455">
        <f>IF(ISNUMBER(((NºAsuntos!I10/NºAsuntos!G10)-Datos!BE10)/Datos!BE10),((NºAsuntos!I10/NºAsuntos!G10)-Datos!BE10)/Datos!BE10," - ")</f>
        <v>-0.13558088770312868</v>
      </c>
      <c r="J10" s="460">
        <f>IF(ISNUMBER((('Resol  Asuntos'!D10/NºAsuntos!G10)-Datos!BF10)/Datos!BF10),(('Resol  Asuntos'!D10/NºAsuntos!G10)-Datos!BF10)/Datos!BF10," - ")</f>
        <v>6.5789473684210564E-2</v>
      </c>
      <c r="K10" s="461">
        <f>IF(ISNUMBER((((NºAsuntos!C10+NºAsuntos!E10)/NºAsuntos!G10)-Datos!BG10)/Datos!BG10),(((NºAsuntos!C10+NºAsuntos!E10)/NºAsuntos!G10)-Datos!BG10)/Datos!BG10," - ")</f>
        <v>-0.12057808455565132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-0.46666666666666667</v>
      </c>
      <c r="C12" s="455">
        <f>IF(ISNUMBER(
   IF(J_V="SI",(Datos!J12-Datos!T12)/Datos!T12,(Datos!J12+Datos!Z12-(Datos!T12+Datos!AH12))/(Datos!T12+Datos!AH12))
     ),IF(J_V="SI",(Datos!J12-Datos!T12)/Datos!T12,(Datos!J12+Datos!Z12-(Datos!T12+Datos!AH12))/(Datos!T12+Datos!AH12))," - ")</f>
        <v>-0.5</v>
      </c>
      <c r="D12" s="455">
        <f>IF(ISNUMBER(
   IF(J_V="SI",(Datos!K12-Datos!U12)/Datos!U12,(Datos!K12+Datos!AA12-(Datos!U12+Datos!AI12))/(Datos!U12+Datos!AI12))
     ),IF(J_V="SI",(Datos!K12-Datos!U12)/Datos!U12,(Datos!K12+Datos!AA12-(Datos!U12+Datos!AI12))/(Datos!U12+Datos!AI12))," - ")</f>
        <v>-0.65909090909090906</v>
      </c>
      <c r="E12" s="455">
        <f>IF(ISNUMBER(
   IF(J_V="SI",(Datos!L12-Datos!V12)/Datos!V12,(Datos!L12+Datos!AB12-(Datos!V12+Datos!AJ12))/(Datos!V12+Datos!AJ12))
     ),IF(J_V="SI",(Datos!L12-Datos!V12)/Datos!V12,(Datos!L12+Datos!AB12-(Datos!V12+Datos!AJ12))/(Datos!V12+Datos!AJ12))," - ")</f>
        <v>-0.39449541284403672</v>
      </c>
      <c r="F12" s="455">
        <f>IF(ISNUMBER((Datos!M12-Datos!W12)/Datos!W12),(Datos!M12-Datos!W12)/Datos!W12," - ")</f>
        <v>-0.87096774193548387</v>
      </c>
      <c r="G12" s="456">
        <f>IF(ISNUMBER((Datos!N12-Datos!X12)/Datos!X12),(Datos!N12-Datos!X12)/Datos!X12," - ")</f>
        <v>-0.42857142857142855</v>
      </c>
      <c r="H12" s="454">
        <f>IF(ISNUMBER(((NºAsuntos!G12/NºAsuntos!E12)-Datos!BD12)/Datos!BD12),((NºAsuntos!G12/NºAsuntos!E12)-Datos!BD12)/Datos!BD12," - ")</f>
        <v>-0.31818181818181818</v>
      </c>
      <c r="I12" s="455">
        <f>IF(ISNUMBER(((NºAsuntos!I12/NºAsuntos!G12)-Datos!BE12)/Datos!BE12),((NºAsuntos!I12/NºAsuntos!G12)-Datos!BE12)/Datos!BE12," - ")</f>
        <v>0.77614678899082601</v>
      </c>
      <c r="J12" s="460">
        <f>IF(ISNUMBER((('Resol  Asuntos'!D12/NºAsuntos!G12)-Datos!BF12)/Datos!BF12),(('Resol  Asuntos'!D12/NºAsuntos!G12)-Datos!BF12)/Datos!BF12," - ")</f>
        <v>-0.16190476190476191</v>
      </c>
      <c r="K12" s="461">
        <f>IF(ISNUMBER((((NºAsuntos!C12+NºAsuntos!E12)/NºAsuntos!G12)-Datos!BG12)/Datos!BG12),(((NºAsuntos!C12+NºAsuntos!E12)/NºAsuntos!G12)-Datos!BG12)/Datos!BG12," - ")</f>
        <v>0.56315789473684219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8.4309730005094244E-2</v>
      </c>
      <c r="C13" s="854">
        <f>IF(ISNUMBER(
   IF(J_V="SI",(Datos!J13-Datos!T13)/Datos!T13,(Datos!J13+Datos!Z13-(Datos!T13+Datos!AH13))/(Datos!T13+Datos!AH13))
     ),IF(J_V="SI",(Datos!J13-Datos!T13)/Datos!T13,(Datos!J13+Datos!Z13-(Datos!T13+Datos!AH13))/(Datos!T13+Datos!AH13))," - ")</f>
        <v>-0.3462897526501767</v>
      </c>
      <c r="D13" s="854">
        <f>IF(ISNUMBER(
   IF(J_V="SI",(Datos!K13-Datos!U13)/Datos!U13,(Datos!K13+Datos!AA13-(Datos!U13+Datos!AI13))/(Datos!U13+Datos!AI13))
     ),IF(J_V="SI",(Datos!K13-Datos!U13)/Datos!U13,(Datos!K13+Datos!AA13-(Datos!U13+Datos!AI13))/(Datos!U13+Datos!AI13))," - ")</f>
        <v>-0.14113680154142583</v>
      </c>
      <c r="E13" s="854">
        <f>IF(ISNUMBER(
   IF(J_V="SI",(Datos!L13-Datos!V13)/Datos!V13,(Datos!L13+Datos!AB13-(Datos!V13+Datos!AJ13))/(Datos!V13+Datos!AJ13))
     ),IF(J_V="SI",(Datos!L13-Datos!V13)/Datos!V13,(Datos!L13+Datos!AB13-(Datos!V13+Datos!AJ13))/(Datos!V13+Datos!AJ13))," - ")</f>
        <v>-3.210066769388803E-2</v>
      </c>
      <c r="F13" s="855">
        <f>IF(ISNUMBER((Datos!M13-Datos!W13)/Datos!W13),(Datos!M13-Datos!W13)/Datos!W13," - ")</f>
        <v>-0.28764044943820227</v>
      </c>
      <c r="G13" s="856">
        <f>IF(ISNUMBER((Datos!N13-Datos!X13)/Datos!X13),(Datos!N13-Datos!X13)/Datos!X13," - ")</f>
        <v>-0.21099290780141844</v>
      </c>
      <c r="H13" s="856">
        <f>IF(ISNUMBER(((NºAsuntos!G13/NºAsuntos!E13)-Datos!BD13)/Datos!BD13),((NºAsuntos!G13/NºAsuntos!E13)-Datos!BD13)/Datos!BD13," - ")</f>
        <v>0.31382856845284574</v>
      </c>
      <c r="I13" s="856">
        <f>IF(ISNUMBER(((NºAsuntos!I13/NºAsuntos!G13)-Datos!BE13)/Datos!BE13),((NºAsuntos!I13/NºAsuntos!G13)-Datos!BE13)/Datos!BE13," - ")</f>
        <v>0.12695401787296046</v>
      </c>
      <c r="J13" s="856">
        <f>IF(ISNUMBER((('Resol  Asuntos'!D13/NºAsuntos!G13)-Datos!BF13)/Datos!BF13),(('Resol  Asuntos'!D13/NºAsuntos!G13)-Datos!BF13)/Datos!BF13," - ")</f>
        <v>0.28603672704461991</v>
      </c>
      <c r="K13" s="856">
        <f>IF(ISNUMBER((((NºAsuntos!C13+NºAsuntos!E13)/NºAsuntos!G13)-Datos!BG13)/Datos!BG13),(((NºAsuntos!C13+NºAsuntos!E13)/NºAsuntos!G13)-Datos!BG13)/Datos!BG13," - ")</f>
        <v>9.4355670492180216E-2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8.4474885844748854E-2</v>
      </c>
      <c r="C15" s="455">
        <f>IF(ISNUMBER(
   IF(D_I="SI",(Datos!J15-Datos!T15)/Datos!T15,(Datos!J15+Datos!AD15-(Datos!T15+Datos!AL15))/(Datos!T15+Datos!AL15))
     ),IF(D_I="SI",(Datos!J15-Datos!T15)/Datos!T15,(Datos!J15+Datos!AD15-(Datos!T15+Datos!AL15))/(Datos!T15+Datos!AL15))," - ")</f>
        <v>-0.12306701030927836</v>
      </c>
      <c r="D15" s="455">
        <f>IF(ISNUMBER(
   IF(D_I="SI",(Datos!K15-Datos!U15)/Datos!U15,(Datos!K15+Datos!AE15-(Datos!U15+Datos!AM15))/(Datos!U15+Datos!AM15))
     ),IF(D_I="SI",(Datos!K15-Datos!U15)/Datos!U15,(Datos!K15+Datos!AE15-(Datos!U15+Datos!AM15))/(Datos!U15+Datos!AM15))," - ")</f>
        <v>-0.11408540471637986</v>
      </c>
      <c r="E15" s="455">
        <f>IF(ISNUMBER(
   IF(D_I="SI",(Datos!L15-Datos!V15)/Datos!V15,(Datos!L15+Datos!AF15-(Datos!V15+Datos!AN15))/(Datos!V15+Datos!AN15))
     ),IF(D_I="SI",(Datos!L15-Datos!V15)/Datos!V15,(Datos!L15+Datos!AF15-(Datos!V15+Datos!AN15))/(Datos!V15+Datos!AN15))," - ")</f>
        <v>6.6251415628539076E-2</v>
      </c>
      <c r="F15" s="455">
        <f>IF(ISNUMBER((Datos!M15-Datos!W15)/Datos!W15),(Datos!M15-Datos!W15)/Datos!W15," - ")</f>
        <v>-0.184</v>
      </c>
      <c r="G15" s="456">
        <f>IF(ISNUMBER((Datos!N15-Datos!X15)/Datos!X15),(Datos!N15-Datos!X15)/Datos!X15," - ")</f>
        <v>-0.15943600867678959</v>
      </c>
      <c r="H15" s="454">
        <f>IF(ISNUMBER(((NºAsuntos!G15/NºAsuntos!E15)-Datos!BD15)/Datos!BD15),((NºAsuntos!G15/NºAsuntos!E15)-Datos!BD15)/Datos!BD15," - ")</f>
        <v>1.024206603980783E-2</v>
      </c>
      <c r="I15" s="455">
        <f>IF(ISNUMBER(((NºAsuntos!I15/NºAsuntos!G15)-Datos!BE15)/Datos!BE15),((NºAsuntos!I15/NºAsuntos!G15)-Datos!BE15)/Datos!BE15," - ")</f>
        <v>0.20356005116631506</v>
      </c>
      <c r="J15" s="460">
        <f>IF(ISNUMBER((('Resol  Asuntos'!D15/NºAsuntos!G15)-Datos!BF15)/Datos!BF15),(('Resol  Asuntos'!D15/NºAsuntos!G15)-Datos!BF15)/Datos!BF15," - ")</f>
        <v>-7.8917985611510838E-2</v>
      </c>
      <c r="K15" s="461">
        <f>IF(ISNUMBER((((NºAsuntos!C15+NºAsuntos!E15)/NºAsuntos!G15)-Datos!BG15)/Datos!BG15),(((NºAsuntos!C15+NºAsuntos!E15)/NºAsuntos!G15)-Datos!BG15)/Datos!BG15," - ")</f>
        <v>0.11408647900081866</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-0.55660377358490565</v>
      </c>
      <c r="C16" s="455">
        <f>IF(ISNUMBER(
   IF(D_I="SI",(Datos!J16-Datos!T16)/Datos!T16,(Datos!J16+Datos!AD16-(Datos!T16+Datos!AL16))/(Datos!T16+Datos!AL16))
     ),IF(D_I="SI",(Datos!J16-Datos!T16)/Datos!T16,(Datos!J16+Datos!AD16-(Datos!T16+Datos!AL16))/(Datos!T16+Datos!AL16))," - ")</f>
        <v>-0.8571428571428571</v>
      </c>
      <c r="D16" s="455">
        <f>IF(ISNUMBER(
   IF(D_I="SI",(Datos!K16-Datos!U16)/Datos!U16,(Datos!K16+Datos!AE16-(Datos!U16+Datos!AM16))/(Datos!U16+Datos!AM16))
     ),IF(D_I="SI",(Datos!K16-Datos!U16)/Datos!U16,(Datos!K16+Datos!AE16-(Datos!U16+Datos!AM16))/(Datos!U16+Datos!AM16))," - ")</f>
        <v>-0.55000000000000004</v>
      </c>
      <c r="E16" s="455">
        <f>IF(ISNUMBER(
   IF(D_I="SI",(Datos!L16-Datos!V16)/Datos!V16,(Datos!L16+Datos!AF16-(Datos!V16+Datos!AN16))/(Datos!V16+Datos!AN16))
     ),IF(D_I="SI",(Datos!L16-Datos!V16)/Datos!V16,(Datos!L16+Datos!AF16-(Datos!V16+Datos!AN16))/(Datos!V16+Datos!AN16))," - ")</f>
        <v>-0.58227848101265822</v>
      </c>
      <c r="F16" s="455" t="str">
        <f>IF(ISNUMBER((Datos!M16-Datos!W16)/Datos!W16),(Datos!M16-Datos!W16)/Datos!W16," - ")</f>
        <v xml:space="preserve"> - </v>
      </c>
      <c r="G16" s="456">
        <f>IF(ISNUMBER((Datos!N16-Datos!X16)/Datos!X16),(Datos!N16-Datos!X16)/Datos!X16," - ")</f>
        <v>0.66666666666666663</v>
      </c>
      <c r="H16" s="454">
        <f>IF(ISNUMBER(((NºAsuntos!G16/NºAsuntos!E16)-Datos!BD16)/Datos!BD16),((NºAsuntos!G16/NºAsuntos!E16)-Datos!BD16)/Datos!BD16," - ")</f>
        <v>2.15</v>
      </c>
      <c r="I16" s="455">
        <f>IF(ISNUMBER(((NºAsuntos!I16/NºAsuntos!G16)-Datos!BE16)/Datos!BE16),((NºAsuntos!I16/NºAsuntos!G16)-Datos!BE16)/Datos!BE16," - ")</f>
        <v>-7.1729957805907255E-2</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-5.6047197640118104E-2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0.42236024844720499</v>
      </c>
      <c r="C17" s="455">
        <f>IF(ISNUMBER(
   IF(D_I="SI",(Datos!J17-Datos!T17)/Datos!T17,(Datos!J17+Datos!AD17-(Datos!T17+Datos!AL17))/(Datos!T17+Datos!AL17))
     ),IF(D_I="SI",(Datos!J17-Datos!T17)/Datos!T17,(Datos!J17+Datos!AD17-(Datos!T17+Datos!AL17))/(Datos!T17+Datos!AL17))," - ")</f>
        <v>0.42328042328042326</v>
      </c>
      <c r="D17" s="455">
        <f>IF(ISNUMBER(
   IF(D_I="SI",(Datos!K17-Datos!U17)/Datos!U17,(Datos!K17+Datos!AE17-(Datos!U17+Datos!AM17))/(Datos!U17+Datos!AM17))
     ),IF(D_I="SI",(Datos!K17-Datos!U17)/Datos!U17,(Datos!K17+Datos!AE17-(Datos!U17+Datos!AM17))/(Datos!U17+Datos!AM17))," - ")</f>
        <v>0.24931506849315069</v>
      </c>
      <c r="E17" s="455">
        <f>IF(ISNUMBER(
   IF(D_I="SI",(Datos!L17-Datos!V17)/Datos!V17,(Datos!L17+Datos!AF17-(Datos!V17+Datos!AN17))/(Datos!V17+Datos!AN17))
     ),IF(D_I="SI",(Datos!L17-Datos!V17)/Datos!V17,(Datos!L17+Datos!AF17-(Datos!V17+Datos!AN17))/(Datos!V17+Datos!AN17))," - ")</f>
        <v>0.78735632183908044</v>
      </c>
      <c r="F17" s="455">
        <f>IF(ISNUMBER((Datos!M17-Datos!W17)/Datos!W17),(Datos!M17-Datos!W17)/Datos!W17," - ")</f>
        <v>0.02</v>
      </c>
      <c r="G17" s="456">
        <f>IF(ISNUMBER((Datos!N17-Datos!X17)/Datos!X17),(Datos!N17-Datos!X17)/Datos!X17," - ")</f>
        <v>0.5</v>
      </c>
      <c r="H17" s="454">
        <f>IF(ISNUMBER(((NºAsuntos!G17/NºAsuntos!E17)-Datos!BD17)/Datos!BD17),((NºAsuntos!G17/NºAsuntos!E17)-Datos!BD17)/Datos!BD17," - ")</f>
        <v>-0.1222284463003514</v>
      </c>
      <c r="I17" s="455">
        <f>IF(ISNUMBER(((NºAsuntos!I17/NºAsuntos!G17)-Datos!BE17)/Datos!BE17),((NºAsuntos!I17/NºAsuntos!G17)-Datos!BE17)/Datos!BE17," - ")</f>
        <v>0.43066898568259726</v>
      </c>
      <c r="J17" s="460">
        <f>IF(ISNUMBER((('Resol  Asuntos'!D17/NºAsuntos!G17)-Datos!BF17)/Datos!BF17),(('Resol  Asuntos'!D17/NºAsuntos!G17)-Datos!BF17)/Datos!BF17," - ")</f>
        <v>-0.18355263157894733</v>
      </c>
      <c r="K17" s="461">
        <f>IF(ISNUMBER((((NºAsuntos!C17+NºAsuntos!E17)/NºAsuntos!G17)-Datos!BG17)/Datos!BG17),(((NºAsuntos!C17+NºAsuntos!E17)/NºAsuntos!G17)-Datos!BG17)/Datos!BG17," - ")</f>
        <v>0.13902857793835238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7.7761267954432889E-2</v>
      </c>
      <c r="C18" s="854">
        <f>IF(ISNUMBER(
   IF(Criterios!B14="SI",(Datos!J18-Datos!T18)/Datos!T18,(Datos!J18+Datos!AD18-(Datos!T18+Datos!AL18))/(Datos!T18+Datos!AL18))
     ),IF(Criterios!B14="SI",(Datos!J18-Datos!T18)/Datos!T18,(Datos!J18+Datos!AD18-(Datos!T18+Datos!AL18))/(Datos!T18+Datos!AL18))," - ")</f>
        <v>-1.9101703665462055E-2</v>
      </c>
      <c r="D18" s="854">
        <f>IF(ISNUMBER(
   IF(Criterios!B14="SI",(Datos!K18-Datos!U18)/Datos!U18,(Datos!K18+Datos!AE18-(Datos!U18+Datos!AM18))/(Datos!U18+Datos!AM18))
     ),IF(Criterios!B14="SI",(Datos!K18-Datos!U18)/Datos!U18,(Datos!K18+Datos!AE18-(Datos!U18+Datos!AM18))/(Datos!U18+Datos!AM18))," - ")</f>
        <v>-5.5724417426545089E-2</v>
      </c>
      <c r="E18" s="854">
        <f>IF(ISNUMBER(
   IF(Criterios!B14="SI",(Datos!L18-Datos!V18)/Datos!V18,(Datos!L18+Datos!AF18-(Datos!V18+Datos!AN18))/(Datos!V18+Datos!AN18))
     ),IF(Criterios!B14="SI",(Datos!L18-Datos!V18)/Datos!V18,(Datos!L18+Datos!AF18-(Datos!V18+Datos!AN18))/(Datos!V18+Datos!AN18))," - ")</f>
        <v>0.1030212976721149</v>
      </c>
      <c r="F18" s="855">
        <f>IF(ISNUMBER((Datos!M18-Datos!W18)/Datos!W18),(Datos!M18-Datos!W18)/Datos!W18," - ")</f>
        <v>-0.15</v>
      </c>
      <c r="G18" s="856">
        <f>IF(ISNUMBER((Datos!N18-Datos!X18)/Datos!X18),(Datos!N18-Datos!X18)/Datos!X18," - ")</f>
        <v>-6.8288119738072972E-2</v>
      </c>
      <c r="H18" s="856">
        <f>IF(ISNUMBER(((NºAsuntos!G18/NºAsuntos!E18)-Datos!BD18)/Datos!BD18),((NºAsuntos!G18/NºAsuntos!E18)-Datos!BD18)/Datos!BD18," - ")</f>
        <v>-3.7335892923798922E-2</v>
      </c>
      <c r="I18" s="856">
        <f>IF(ISNUMBER(((NºAsuntos!I18/NºAsuntos!G18)-Datos!BE18)/Datos!BE18),((NºAsuntos!I18/NºAsuntos!G18)-Datos!BE18)/Datos!BE18," - ")</f>
        <v>0.1681137562257268</v>
      </c>
      <c r="J18" s="856">
        <f>IF(ISNUMBER((('Resol  Asuntos'!D18/NºAsuntos!G18)-Datos!BF18)/Datos!BF18),(('Resol  Asuntos'!D18/NºAsuntos!G18)-Datos!BF18)/Datos!BF18," - ")</f>
        <v>-9.9839055793991452E-2</v>
      </c>
      <c r="K18" s="856">
        <f>IF(ISNUMBER((((NºAsuntos!C18+NºAsuntos!E18)/NºAsuntos!G18)-Datos!BG18)/Datos!BG18),(((NºAsuntos!C18+NºAsuntos!E18)/NºAsuntos!G18)-Datos!BG18)/Datos!BG18," - ")</f>
        <v>9.1136623024948404E-2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8.2085786375105135E-2</v>
      </c>
      <c r="C19" s="801">
        <f>IF(ISNUMBER(
   IF(J_V="SI",(Datos!J19-Datos!T19)/Datos!T19,(Datos!J19+Datos!Z19-(Datos!T19+Datos!AH19))/(Datos!T19+Datos!AH19))
     ),IF(J_V="SI",(Datos!J19-Datos!T19)/Datos!T19,(Datos!J19+Datos!Z19-(Datos!T19+Datos!AH19))/(Datos!T19+Datos!AH19))," - ")</f>
        <v>-0.18453292496171517</v>
      </c>
      <c r="D19" s="801">
        <f>IF(ISNUMBER(
   IF(J_V="SI",(Datos!K19-Datos!U19)/Datos!U19,(Datos!K19+Datos!AA19-(Datos!U19+Datos!AI19))/(Datos!U19+Datos!AI19))
     ),IF(J_V="SI",(Datos!K19-Datos!U19)/Datos!U19,(Datos!K19+Datos!AA19-(Datos!U19+Datos!AI19))/(Datos!U19+Datos!AI19))," - ")</f>
        <v>-9.9506172839506177E-2</v>
      </c>
      <c r="E19" s="801">
        <f>IF(ISNUMBER(
   IF(J_V="SI",(Datos!L19-Datos!V19)/Datos!V19,(Datos!L19+Datos!AB19-(Datos!V19+Datos!AJ19))/(Datos!V19+Datos!AJ19))
     ),IF(J_V="SI",(Datos!L19-Datos!V19)/Datos!V19,(Datos!L19+Datos!AB19-(Datos!V19+Datos!AJ19))/(Datos!V19+Datos!AJ19))," - ")</f>
        <v>1.4036867918146456E-2</v>
      </c>
      <c r="F19" s="802">
        <f>IF(ISNUMBER((Datos!M19-Datos!W19)/Datos!W19),(Datos!M19-Datos!W19)/Datos!W19," - ")</f>
        <v>-0.25294117647058822</v>
      </c>
      <c r="G19" s="803">
        <f>IF(ISNUMBER((Datos!N19-Datos!X19)/Datos!X19),(Datos!N19-Datos!X19)/Datos!X19," - ")</f>
        <v>-0.11757501530924679</v>
      </c>
      <c r="H19" s="804">
        <f>IF(ISNUMBER((Tasas!B19-Datos!BD19)/Datos!BD19),(Tasas!B19-Datos!BD19)/Datos!BD19," - ")</f>
        <v>0.10426754767286846</v>
      </c>
      <c r="I19" s="805">
        <f>IF(ISNUMBER((Tasas!C19-Datos!BE19)/Datos!BE19),(Tasas!C19-Datos!BE19)/Datos!BE19," - ")</f>
        <v>0.12608974912763726</v>
      </c>
      <c r="J19" s="806">
        <f>IF(ISNUMBER((Tasas!D19-Datos!BF19)/Datos!BF19),(Tasas!D19-Datos!BF19)/Datos!BF19," - ")</f>
        <v>0.12956073736038329</v>
      </c>
      <c r="K19" s="806">
        <f>IF(ISNUMBER((Tasas!E19-Datos!BG19)/Datos!BG19),(Tasas!E19-Datos!BG19)/Datos!BG19," - ")</f>
        <v>8.4042498211235772E-2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au4Na2QgAqpYw9N4QWKNS0Grb812G+HHoWgnks5VeuV5k/tu3pQ+iB9V3IzQYKJ8kyZMZqLFE33SOfoMld6Q==" saltValue="fLr88d+nVcbaCJvKzGKi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CACERES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1.3940370668815472</v>
      </c>
      <c r="C9" s="442">
        <f>IF(ISNUMBER(NºAsuntos!I9/NºAsuntos!G9),NºAsuntos!I9/NºAsuntos!G9," - ")</f>
        <v>1.9878612716763007</v>
      </c>
      <c r="D9" s="443">
        <f>IF(ISNUMBER('Resol  Asuntos'!D9/NºAsuntos!G9),'Resol  Asuntos'!D9/NºAsuntos!G9," - ")</f>
        <v>0.34855491329479771</v>
      </c>
      <c r="E9" s="444">
        <f>IF(ISNUMBER((NºAsuntos!C9+NºAsuntos!E9)/NºAsuntos!G9),(NºAsuntos!C9+NºAsuntos!E9)/NºAsuntos!G9," - ")</f>
        <v>2.9878612716763007</v>
      </c>
      <c r="G9" s="462"/>
    </row>
    <row r="10" spans="1:7" ht="21">
      <c r="A10" s="401" t="str">
        <f>Datos!A10</f>
        <v>Jdos. Violencia contra la mujer/Secc Viol. TI.</v>
      </c>
      <c r="B10" s="441">
        <f>IF(ISNUMBER(NºAsuntos!G10/NºAsuntos!E10),NºAsuntos!G10/NºAsuntos!E10," - ")</f>
        <v>0.71698113207547165</v>
      </c>
      <c r="C10" s="442">
        <f>IF(ISNUMBER(NºAsuntos!I10/NºAsuntos!G10),NºAsuntos!I10/NºAsuntos!G10," - ")</f>
        <v>6.9473684210526319</v>
      </c>
      <c r="D10" s="443">
        <f>IF(ISNUMBER('Resol  Asuntos'!D10/NºAsuntos!G10),'Resol  Asuntos'!D10/NºAsuntos!G10," - ")</f>
        <v>0.71052631578947367</v>
      </c>
      <c r="E10" s="444">
        <f>IF(ISNUMBER((NºAsuntos!C10+NºAsuntos!E10)/NºAsuntos!G10),(NºAsuntos!C10+NºAsuntos!E10)/NºAsuntos!G10," - ")</f>
        <v>7.9473684210526319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v>
      </c>
      <c r="C12" s="442">
        <f>IF(ISNUMBER(NºAsuntos!I12/NºAsuntos!G12),NºAsuntos!I12/NºAsuntos!G12," - ")</f>
        <v>4.4000000000000004</v>
      </c>
      <c r="D12" s="443">
        <f>IF(ISNUMBER('Resol  Asuntos'!D12/NºAsuntos!G12),'Resol  Asuntos'!D12/NºAsuntos!G12," - ")</f>
        <v>0.26666666666666666</v>
      </c>
      <c r="E12" s="444">
        <f>IF(ISNUMBER((NºAsuntos!C12+NºAsuntos!E12)/NºAsuntos!G12),(NºAsuntos!C12+NºAsuntos!E12)/NºAsuntos!G12," - ")</f>
        <v>5.4</v>
      </c>
      <c r="G12" s="462"/>
    </row>
    <row r="13" spans="1:7" ht="14.25" thickTop="1" thickBot="1">
      <c r="A13" s="847" t="str">
        <f>Datos!A13</f>
        <v>TOTAL</v>
      </c>
      <c r="B13" s="857">
        <f>IF(ISNUMBER(NºAsuntos!G13/NºAsuntos!E13),NºAsuntos!G13/NºAsuntos!E13," - ")</f>
        <v>1.3768339768339768</v>
      </c>
      <c r="C13" s="858">
        <f>IF(ISNUMBER(NºAsuntos!I13/NºAsuntos!G13),NºAsuntos!I13/NºAsuntos!G13," - ")</f>
        <v>2.1138530566461022</v>
      </c>
      <c r="D13" s="859">
        <f>IF(ISNUMBER('Resol  Asuntos'!D13/NºAsuntos!G13),'Resol  Asuntos'!D13/NºAsuntos!G13," - ")</f>
        <v>0.35558048233314637</v>
      </c>
      <c r="E13" s="860">
        <f>IF(ISNUMBER((NºAsuntos!C13+NºAsuntos!E13)/NºAsuntos!G13),(NºAsuntos!C13+NºAsuntos!E13)/NºAsuntos!G13," - ")</f>
        <v>3.1138530566461022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1.0213078618662748</v>
      </c>
      <c r="C15" s="442">
        <f>IF(ISNUMBER(NºAsuntos!I15/NºAsuntos!G15),NºAsuntos!I15/NºAsuntos!G15," - ")</f>
        <v>1.3546762589928059</v>
      </c>
      <c r="D15" s="443">
        <f>IF(ISNUMBER('Resol  Asuntos'!D15/NºAsuntos!G15),'Resol  Asuntos'!D15/NºAsuntos!G15," - ")</f>
        <v>0.14676258992805755</v>
      </c>
      <c r="E15" s="444">
        <f>IF(ISNUMBER((NºAsuntos!C15+NºAsuntos!E15)/NºAsuntos!G15),(NºAsuntos!C15+NºAsuntos!E15)/NºAsuntos!G15," - ")</f>
        <v>2.3460431654676257</v>
      </c>
      <c r="G15" s="462"/>
    </row>
    <row r="16" spans="1:7" ht="21">
      <c r="A16" s="401" t="str">
        <f>Datos!A16</f>
        <v xml:space="preserve">Jdos. 1ª Instª. e Instr./Secc. Civil y de Inst. TI                      </v>
      </c>
      <c r="B16" s="441">
        <f>IF(ISNUMBER(NºAsuntos!G16/NºAsuntos!E16),NºAsuntos!G16/NºAsuntos!E16," - ")</f>
        <v>18</v>
      </c>
      <c r="C16" s="442">
        <f>IF(ISNUMBER(NºAsuntos!I16/NºAsuntos!G16),NºAsuntos!I16/NºAsuntos!G16," - ")</f>
        <v>1.8333333333333333</v>
      </c>
      <c r="D16" s="443">
        <f>IF(ISNUMBER('Resol  Asuntos'!D16/NºAsuntos!G16),'Resol  Asuntos'!D16/NºAsuntos!G16," - ")</f>
        <v>0</v>
      </c>
      <c r="E16" s="444">
        <f>IF(ISNUMBER((NºAsuntos!C16+NºAsuntos!E16)/NºAsuntos!G16),(NºAsuntos!C16+NºAsuntos!E16)/NºAsuntos!G16," - ")</f>
        <v>2.6666666666666665</v>
      </c>
      <c r="G16" s="462"/>
    </row>
    <row r="17" spans="1:7" ht="21.75" thickBot="1">
      <c r="A17" s="401" t="str">
        <f>Datos!A17</f>
        <v>Jdos. Violencia contra la mujer/Secc Viol. TI.</v>
      </c>
      <c r="B17" s="441">
        <f>IF(ISNUMBER(NºAsuntos!G17/NºAsuntos!E17),NºAsuntos!G17/NºAsuntos!E17," - ")</f>
        <v>0.84758364312267653</v>
      </c>
      <c r="C17" s="442">
        <f>IF(ISNUMBER(NºAsuntos!I17/NºAsuntos!G17),NºAsuntos!I17/NºAsuntos!G17," - ")</f>
        <v>0.68201754385964908</v>
      </c>
      <c r="D17" s="443">
        <f>IF(ISNUMBER('Resol  Asuntos'!D17/NºAsuntos!G17),'Resol  Asuntos'!D17/NºAsuntos!G17," - ")</f>
        <v>0.1118421052631579</v>
      </c>
      <c r="E17" s="444">
        <f>IF(ISNUMBER((NºAsuntos!C17+NºAsuntos!E17)/NºAsuntos!G17),(NºAsuntos!C17+NºAsuntos!E17)/NºAsuntos!G17," - ")</f>
        <v>1.6820175438596492</v>
      </c>
      <c r="G17" s="462"/>
    </row>
    <row r="18" spans="1:7" ht="14.25" thickTop="1" thickBot="1">
      <c r="A18" s="847" t="str">
        <f>Datos!A18</f>
        <v>TOTAL</v>
      </c>
      <c r="B18" s="857">
        <f>IF(ISNUMBER(NºAsuntos!G18/NºAsuntos!E18),NºAsuntos!G18/NºAsuntos!E18," - ")</f>
        <v>0.9810526315789474</v>
      </c>
      <c r="C18" s="858">
        <f>IF(ISNUMBER(NºAsuntos!I18/NºAsuntos!G18),NºAsuntos!I18/NºAsuntos!G18," - ")</f>
        <v>1.1947424892703862</v>
      </c>
      <c r="D18" s="861">
        <f>IF(ISNUMBER('Resol  Asuntos'!D18/NºAsuntos!G18),'Resol  Asuntos'!D18/NºAsuntos!G18," - ")</f>
        <v>0.13680257510729613</v>
      </c>
      <c r="E18" s="860">
        <f>IF(ISNUMBER((NºAsuntos!C18+NºAsuntos!E18)/NºAsuntos!G18),(NºAsuntos!C18+NºAsuntos!E18)/NºAsuntos!G18," - ")</f>
        <v>2.1866952789699572</v>
      </c>
      <c r="G18" s="462"/>
    </row>
    <row r="19" spans="1:7" ht="15.75" customHeight="1" thickTop="1" thickBot="1">
      <c r="A19" s="792" t="str">
        <f>Datos!A19</f>
        <v>TOTAL JURISDICCIONES</v>
      </c>
      <c r="B19" s="807">
        <f>IF(ISNUMBER(NºAsuntos!G19/NºAsuntos!E19),NºAsuntos!G19/NºAsuntos!E19," - ")</f>
        <v>1.1414710485133019</v>
      </c>
      <c r="C19" s="808">
        <f>IF(ISNUMBER(NºAsuntos!I19/NºAsuntos!G19),NºAsuntos!I19/NºAsuntos!G19," - ")</f>
        <v>1.6440910337263503</v>
      </c>
      <c r="D19" s="809">
        <f>IF(ISNUMBER('Resol  Asuntos'!D19/NºAsuntos!G19),'Resol  Asuntos'!D19/NºAsuntos!G19," - ")</f>
        <v>0.2437619961612284</v>
      </c>
      <c r="E19" s="810">
        <f>IF(ISNUMBER((NºAsuntos!C19+NºAsuntos!E19)/NºAsuntos!G19),(NºAsuntos!C19+NºAsuntos!E19)/NºAsuntos!G19," - ")</f>
        <v>2.6399780641623254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ZgugKBMPRoTAFfBf8GhsrxC2iFi2KwdsIB8ISQ3wXk7W3F3GHbd4S/5zQjAeRvfChG1n4oaU16EUg7UScwW+w==" saltValue="GF5CgRCZhwpOw2codHmr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CACERES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678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579</v>
      </c>
      <c r="Y9" s="333">
        <f>SUM(W9:X9)</f>
        <v>579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4940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603</v>
      </c>
      <c r="AJ9" s="228" t="str">
        <f>IF(ISNUMBER(Datos!BW9),Datos!BW9," - ")</f>
        <v xml:space="preserve"> - </v>
      </c>
      <c r="AK9" s="227" t="str">
        <f>IF(ISNUMBER(Datos!BX9),Datos!BX9," - ")</f>
        <v xml:space="preserve"> - </v>
      </c>
      <c r="AL9" s="242">
        <f>IF(ISNUMBER(NºAsuntos!G9/NºAsuntos!E9),NºAsuntos!G9/NºAsuntos!E9," - ")</f>
        <v>1.3940370668815472</v>
      </c>
      <c r="AM9" s="259">
        <f>IF(ISNUMBER(((NºAsuntos!I9/NºAsuntos!G9)*11)/factor_trimestre),((NºAsuntos!I9/NºAsuntos!G9)*11)/factor_trimestre," - ")</f>
        <v>5.963583815028902</v>
      </c>
      <c r="AN9" s="243">
        <f>IF(ISNUMBER('Resol  Asuntos'!D9/NºAsuntos!G9),'Resol  Asuntos'!D9/NºAsuntos!G9," - ")</f>
        <v>0.34855491329479771</v>
      </c>
      <c r="AO9" s="244">
        <f>IF(ISNUMBER((NºAsuntos!C9+NºAsuntos!E9)/NºAsuntos!G9),(NºAsuntos!C9+NºAsuntos!E9)/NºAsuntos!G9," - ")</f>
        <v>2.9878612716763007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249</v>
      </c>
      <c r="G10" s="332">
        <f>IF(ISNUMBER(Datos!I10),Datos!I10," - ")</f>
        <v>249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1</v>
      </c>
      <c r="Y10" s="333">
        <f t="shared" ref="Y10:Y12" si="0">SUM(W10:X10)</f>
        <v>39</v>
      </c>
      <c r="Z10" s="334" t="str">
        <f>IF(ISNUMBER(Datos!CC10),Datos!CC10," - ")</f>
        <v xml:space="preserve"> - </v>
      </c>
      <c r="AA10" s="331">
        <f>IF(ISNUMBER(Datos!L10),Datos!L10,"-")</f>
        <v>264</v>
      </c>
      <c r="AB10" s="333">
        <f>IF(ISNUMBER(Datos!R10),Datos!R10," - ")</f>
        <v>23</v>
      </c>
      <c r="AC10" s="333">
        <f t="shared" ref="AC10:AC12" si="1">IF(ISNUMBER(AA10+AB10),AA10+AB10," - ")</f>
        <v>287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27</v>
      </c>
      <c r="AJ10" s="230" t="str">
        <f>IF(ISNUMBER(Datos!BW10),Datos!BW10," - ")</f>
        <v xml:space="preserve"> - </v>
      </c>
      <c r="AK10" s="231" t="str">
        <f>IF(ISNUMBER(Datos!BX10),Datos!BX10," - ")</f>
        <v xml:space="preserve"> - </v>
      </c>
      <c r="AL10" s="242">
        <f>IF(ISNUMBER(NºAsuntos!G10/NºAsuntos!E10),NºAsuntos!G10/NºAsuntos!E10," - ")</f>
        <v>0.71698113207547165</v>
      </c>
      <c r="AM10" s="259">
        <f>IF(ISNUMBER(((NºAsuntos!I10/NºAsuntos!G10)*11)/factor_trimestre),((NºAsuntos!I10/NºAsuntos!G10)*11)/factor_trimestre," - ")</f>
        <v>20.842105263157894</v>
      </c>
      <c r="AN10" s="243">
        <f>IF(ISNUMBER('Resol  Asuntos'!D10/NºAsuntos!G10),'Resol  Asuntos'!D10/NºAsuntos!G10," - ")</f>
        <v>0.71052631578947367</v>
      </c>
      <c r="AO10" s="244">
        <f>IF(ISNUMBER((NºAsuntos!C10+NºAsuntos!E10)/NºAsuntos!G10),(NºAsuntos!C10+NºAsuntos!E10)/NºAsuntos!G10," - ")</f>
        <v>7.9473684210526319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v>
      </c>
      <c r="Y12" s="333">
        <f t="shared" si="0"/>
        <v>102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v>
      </c>
      <c r="AJ12" s="228" t="str">
        <f>IF(ISNUMBER(Datos!BW12),Datos!BW12," - ")</f>
        <v xml:space="preserve"> - </v>
      </c>
      <c r="AK12" s="227" t="str">
        <f>IF(ISNUMBER(Datos!BX12),Datos!BX12," - ")</f>
        <v xml:space="preserve"> - </v>
      </c>
      <c r="AL12" s="242">
        <f>IF(ISNUMBER(NºAsuntos!G12/NºAsuntos!E12),NºAsuntos!G12/NºAsuntos!E12," - ")</f>
        <v>15</v>
      </c>
      <c r="AM12" s="259">
        <f>IF(ISNUMBER(((NºAsuntos!I12/NºAsuntos!G12)*11)/factor_trimestre),((NºAsuntos!I12/NºAsuntos!G12)*11)/factor_trimestre," - ")</f>
        <v>13.200000000000003</v>
      </c>
      <c r="AN12" s="243">
        <f>IF(ISNUMBER('Resol  Asuntos'!D12/NºAsuntos!G12),'Resol  Asuntos'!D12/NºAsuntos!G12," - ")</f>
        <v>0.26666666666666666</v>
      </c>
      <c r="AO12" s="244">
        <f>IF(ISNUMBER((NºAsuntos!C12+NºAsuntos!E12)/NºAsuntos!G12),(NºAsuntos!C12+NºAsuntos!E12)/NºAsuntos!G12," - ")</f>
        <v>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249</v>
      </c>
      <c r="G13" s="865">
        <f t="shared" si="3"/>
        <v>249</v>
      </c>
      <c r="H13" s="864">
        <f t="shared" si="3"/>
        <v>0</v>
      </c>
      <c r="I13" s="866">
        <f t="shared" si="3"/>
        <v>0</v>
      </c>
      <c r="J13" s="866">
        <f t="shared" si="3"/>
        <v>0</v>
      </c>
      <c r="K13" s="866">
        <f t="shared" si="3"/>
        <v>0</v>
      </c>
      <c r="L13" s="866">
        <f t="shared" si="3"/>
        <v>687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682</v>
      </c>
      <c r="Y13" s="867">
        <f t="shared" si="4"/>
        <v>720</v>
      </c>
      <c r="Z13" s="867">
        <f t="shared" si="4"/>
        <v>0</v>
      </c>
      <c r="AA13" s="867">
        <f t="shared" si="4"/>
        <v>264</v>
      </c>
      <c r="AB13" s="867">
        <f t="shared" si="4"/>
        <v>6723</v>
      </c>
      <c r="AC13" s="867">
        <f t="shared" si="4"/>
        <v>287</v>
      </c>
      <c r="AD13" s="867">
        <f t="shared" si="4"/>
        <v>0</v>
      </c>
      <c r="AE13" s="871">
        <f t="shared" si="4"/>
        <v>0</v>
      </c>
      <c r="AF13" s="864">
        <f t="shared" si="4"/>
        <v>0</v>
      </c>
      <c r="AG13" s="872">
        <f t="shared" si="4"/>
        <v>0</v>
      </c>
      <c r="AH13" s="869">
        <f t="shared" si="4"/>
        <v>0</v>
      </c>
      <c r="AI13" s="864">
        <f t="shared" si="4"/>
        <v>634</v>
      </c>
      <c r="AJ13" s="866">
        <f t="shared" si="4"/>
        <v>0</v>
      </c>
      <c r="AK13" s="869">
        <f>SUBTOTAL(9,AK9:AK12)</f>
        <v>0</v>
      </c>
      <c r="AL13" s="873">
        <f>IF(ISNUMBER(NºAsuntos!G13/NºAsuntos!E13),NºAsuntos!G13/NºAsuntos!E13," - ")</f>
        <v>1.3768339768339768</v>
      </c>
      <c r="AM13" s="873">
        <f>IF(ISNUMBER(((NºAsuntos!I13/NºAsuntos!G13)*11)/factor_trimestre),((NºAsuntos!I13/NºAsuntos!G13)*11)/factor_trimestre," - ")</f>
        <v>6.3415591699383072</v>
      </c>
      <c r="AN13" s="874">
        <f>IF(ISNUMBER('Resol  Asuntos'!D13/NºAsuntos!G13),'Resol  Asuntos'!D13/NºAsuntos!G13," - ")</f>
        <v>0.35558048233314637</v>
      </c>
      <c r="AO13" s="875">
        <f>IF(ISNUMBER((NºAsuntos!C13+NºAsuntos!E13)/NºAsuntos!G13),(NºAsuntos!C13+NºAsuntos!E13)/NºAsuntos!G13," - ")</f>
        <v>3.1138530566461022</v>
      </c>
      <c r="AP13" s="876" t="str">
        <f t="shared" si="2"/>
        <v xml:space="preserve"> - </v>
      </c>
      <c r="AQ13" s="876">
        <f>IF(ISNUMBER((H13-W13+K13)/(F13)),(H13-W13+K13)/(F13)," - ")</f>
        <v>-0.15261044176706828</v>
      </c>
      <c r="AR13" s="877">
        <f>IF(ISNUMBER((Datos!P13-Datos!Q13)/(Datos!R13-Datos!P13+Datos!Q13)),(Datos!P13-Datos!Q13)/(Datos!R13-Datos!P13+Datos!Q13)," - ")</f>
        <v>7.442691277165823E-4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1912</v>
      </c>
      <c r="G15" s="332">
        <f>IF(ISNUMBER(IF(D_I="SI",Datos!I15,Datos!I15+Datos!AC15)),IF(D_I="SI",Datos!I15,Datos!I15+Datos!AC15)," - ")</f>
        <v>1900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1390</v>
      </c>
      <c r="X15" s="225">
        <f>IF(ISNUMBER(Datos!Q15),Datos!Q15," - ")</f>
        <v>58</v>
      </c>
      <c r="Y15" s="333">
        <f>SUM(W15)</f>
        <v>1390</v>
      </c>
      <c r="Z15" s="334" t="str">
        <f>IF(ISNUMBER(Datos!CC15),Datos!CC15," - ")</f>
        <v xml:space="preserve"> - </v>
      </c>
      <c r="AA15" s="331">
        <f>IF(ISNUMBER(IF(D_I="SI",Datos!L15,Datos!L15+Datos!AF15)),IF(D_I="SI",Datos!L15,Datos!L15+Datos!AF15)," - ")</f>
        <v>1883</v>
      </c>
      <c r="AB15" s="333">
        <f>IF(ISNUMBER(Datos!R15),Datos!R15," - ")</f>
        <v>372</v>
      </c>
      <c r="AC15" s="333">
        <f t="shared" ref="AC15:AC17" si="6">IF(ISNUMBER(AA15+AB15),AA15+AB15," - ")</f>
        <v>2255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204</v>
      </c>
      <c r="AJ15" s="230" t="str">
        <f>IF(ISNUMBER(Datos!BW15),Datos!BW15," - ")</f>
        <v xml:space="preserve"> - </v>
      </c>
      <c r="AK15" s="231" t="str">
        <f>IF(ISNUMBER(Datos!BX15),Datos!BX15," - ")</f>
        <v xml:space="preserve"> - </v>
      </c>
      <c r="AL15" s="242">
        <f>IF(ISNUMBER(NºAsuntos!G15/NºAsuntos!E15),NºAsuntos!G15/NºAsuntos!E15," - ")</f>
        <v>1.0213078618662748</v>
      </c>
      <c r="AM15" s="259">
        <f>IF(ISNUMBER(((NºAsuntos!I15/NºAsuntos!G15)*11)/factor_trimestre),((NºAsuntos!I15/NºAsuntos!G15)*11)/factor_trimestre," - ")</f>
        <v>4.064028776978418</v>
      </c>
      <c r="AN15" s="243">
        <f>IF(ISNUMBER('Resol  Asuntos'!D15/NºAsuntos!G15),'Resol  Asuntos'!D15/NºAsuntos!G15," - ")</f>
        <v>0.14676258992805755</v>
      </c>
      <c r="AO15" s="244">
        <f>IF(ISNUMBER((NºAsuntos!C15+NºAsuntos!E15)/NºAsuntos!G15),(NºAsuntos!C15+NºAsuntos!E15)/NºAsuntos!G15," - ")</f>
        <v>2.3460431654676257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50</v>
      </c>
      <c r="G16" s="332">
        <f>IF(ISNUMBER(IF(D_I="SI",Datos!I16,Datos!I16+Datos!AC16)),IF(D_I="SI",Datos!I16,Datos!I16+Datos!AC16)," - ")</f>
        <v>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v>
      </c>
      <c r="X16" s="225">
        <f>IF(ISNUMBER(Datos!Q16),Datos!Q16," - ")</f>
        <v>10</v>
      </c>
      <c r="Y16" s="333">
        <f t="shared" ref="Y16:Y17" si="7">SUM(W16:X16)</f>
        <v>28</v>
      </c>
      <c r="Z16" s="334" t="str">
        <f>IF(ISNUMBER(Datos!CC16),Datos!CC16," - ")</f>
        <v xml:space="preserve"> - </v>
      </c>
      <c r="AA16" s="331">
        <f>IF(ISNUMBER(IF(D_I="SI",Datos!L16,Datos!L16+Datos!AF16)),IF(D_I="SI",Datos!L16,Datos!L16+Datos!AF16)," - ")</f>
        <v>33</v>
      </c>
      <c r="AB16" s="333">
        <f>IF(ISNUMBER(Datos!R16),Datos!R16," - ")</f>
        <v>23</v>
      </c>
      <c r="AC16" s="333">
        <f t="shared" si="6"/>
        <v>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f>IF(ISNUMBER(NºAsuntos!G16/NºAsuntos!E16),NºAsuntos!G16/NºAsuntos!E16," - ")</f>
        <v>18</v>
      </c>
      <c r="AM16" s="259">
        <f>IF(ISNUMBER(((NºAsuntos!I16/NºAsuntos!G16)*11)/factor_trimestre),((NºAsuntos!I16/NºAsuntos!G16)*11)/factor_trimestre," - ")</f>
        <v>5.5</v>
      </c>
      <c r="AN16" s="243">
        <f>IF(ISNUMBER('Resol  Asuntos'!D16/NºAsuntos!G16),'Resol  Asuntos'!D16/NºAsuntos!G16," - ")</f>
        <v>0</v>
      </c>
      <c r="AO16" s="244">
        <f>IF(ISNUMBER((NºAsuntos!C16+NºAsuntos!E16)/NºAsuntos!G16),(NºAsuntos!C16+NºAsuntos!E16)/NºAsuntos!G16," - ")</f>
        <v>2.6666666666666665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456</v>
      </c>
      <c r="X17" s="225">
        <f>IF(ISNUMBER(Datos!Q17),Datos!Q17," - ")</f>
        <v>0</v>
      </c>
      <c r="Y17" s="333">
        <f t="shared" si="7"/>
        <v>456</v>
      </c>
      <c r="Z17" s="334" t="str">
        <f>IF(ISNUMBER(Datos!CC17),Datos!CC17," - ")</f>
        <v xml:space="preserve"> - </v>
      </c>
      <c r="AA17" s="331">
        <f>IF(ISNUMBER(Datos!L17),Datos!L17,"-")</f>
        <v>311</v>
      </c>
      <c r="AB17" s="333">
        <f>IF(ISNUMBER(Datos!R17),Datos!R17," - ")</f>
        <v>18</v>
      </c>
      <c r="AC17" s="333">
        <f t="shared" si="6"/>
        <v>329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51</v>
      </c>
      <c r="AJ17" s="230" t="str">
        <f>IF(ISNUMBER(Datos!BW17),Datos!BW17," - ")</f>
        <v xml:space="preserve"> - </v>
      </c>
      <c r="AK17" s="231" t="str">
        <f>IF(ISNUMBER(Datos!BX17),Datos!BX17," - ")</f>
        <v xml:space="preserve"> - </v>
      </c>
      <c r="AL17" s="242">
        <f>IF(ISNUMBER(NºAsuntos!G17/NºAsuntos!E17),NºAsuntos!G17/NºAsuntos!E17," - ")</f>
        <v>0.84758364312267653</v>
      </c>
      <c r="AM17" s="259">
        <f>IF(ISNUMBER(((NºAsuntos!I17/NºAsuntos!G17)*11)/factor_trimestre),((NºAsuntos!I17/NºAsuntos!G17)*11)/factor_trimestre," - ")</f>
        <v>2.0460526315789473</v>
      </c>
      <c r="AN17" s="243">
        <f>IF(ISNUMBER('Resol  Asuntos'!D17/NºAsuntos!G17),'Resol  Asuntos'!D17/NºAsuntos!G17," - ")</f>
        <v>0.1118421052631579</v>
      </c>
      <c r="AO17" s="244">
        <f>IF(ISNUMBER((NºAsuntos!C17+NºAsuntos!E17)/NºAsuntos!G17),(NºAsuntos!C17+NºAsuntos!E17)/NºAsuntos!G17," - ")</f>
        <v>1.6820175438596492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1962</v>
      </c>
      <c r="G18" s="865">
        <f>SUBTOTAL(9,G15:G17)</f>
        <v>2176</v>
      </c>
      <c r="H18" s="864">
        <f t="shared" ref="H18:O18" si="10">SUBTOTAL(9,H14:H17)</f>
        <v>0</v>
      </c>
      <c r="I18" s="866">
        <f t="shared" si="10"/>
        <v>0</v>
      </c>
      <c r="J18" s="866">
        <f t="shared" si="10"/>
        <v>0</v>
      </c>
      <c r="K18" s="866">
        <f t="shared" si="10"/>
        <v>0</v>
      </c>
      <c r="L18" s="866">
        <f t="shared" si="10"/>
        <v>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1864</v>
      </c>
      <c r="X18" s="866">
        <f t="shared" si="11"/>
        <v>68</v>
      </c>
      <c r="Y18" s="867">
        <f t="shared" si="11"/>
        <v>1874</v>
      </c>
      <c r="Z18" s="867">
        <f t="shared" si="11"/>
        <v>0</v>
      </c>
      <c r="AA18" s="867">
        <f t="shared" si="11"/>
        <v>2227</v>
      </c>
      <c r="AB18" s="867">
        <f t="shared" si="11"/>
        <v>413</v>
      </c>
      <c r="AC18" s="867">
        <f t="shared" si="11"/>
        <v>2640</v>
      </c>
      <c r="AD18" s="867">
        <f t="shared" si="11"/>
        <v>0</v>
      </c>
      <c r="AE18" s="871">
        <f t="shared" si="11"/>
        <v>0</v>
      </c>
      <c r="AF18" s="864">
        <f t="shared" si="11"/>
        <v>0</v>
      </c>
      <c r="AG18" s="872">
        <f t="shared" si="11"/>
        <v>0</v>
      </c>
      <c r="AH18" s="869">
        <f t="shared" si="11"/>
        <v>0</v>
      </c>
      <c r="AI18" s="864">
        <f t="shared" si="11"/>
        <v>255</v>
      </c>
      <c r="AJ18" s="866">
        <f t="shared" si="11"/>
        <v>0</v>
      </c>
      <c r="AK18" s="869">
        <f t="shared" si="11"/>
        <v>0</v>
      </c>
      <c r="AL18" s="873">
        <f>IF(ISNUMBER(NºAsuntos!G18/NºAsuntos!E18),NºAsuntos!G18/NºAsuntos!E18," - ")</f>
        <v>0.9810526315789474</v>
      </c>
      <c r="AM18" s="873">
        <f>IF(ISNUMBER(((NºAsuntos!I18/NºAsuntos!G18)*11)/factor_trimestre),((NºAsuntos!I18/NºAsuntos!G18)*11)/factor_trimestre," - ")</f>
        <v>3.584227467811159</v>
      </c>
      <c r="AN18" s="874">
        <f>IF(ISNUMBER('Resol  Asuntos'!D18/NºAsuntos!G18),'Resol  Asuntos'!D18/NºAsuntos!G18," - ")</f>
        <v>0.13680257510729613</v>
      </c>
      <c r="AO18" s="875">
        <f>IF(ISNUMBER((NºAsuntos!C18+NºAsuntos!E18)/NºAsuntos!G18),(NºAsuntos!C18+NºAsuntos!E18)/NºAsuntos!G18," - ")</f>
        <v>2.1866952789699572</v>
      </c>
      <c r="AP18" s="876" t="str">
        <f t="shared" si="2"/>
        <v xml:space="preserve"> - </v>
      </c>
      <c r="AQ18" s="876">
        <f>IF(ISNUMBER((H18-W18+K18)/(F18)),(H18-W18+K18)/(F18)," - ")</f>
        <v>-0.95005096839959224</v>
      </c>
      <c r="AR18" s="877">
        <f>IF(ISNUMBER((Datos!P18-Datos!Q18)/(Datos!R18-Datos!P18+Datos!Q18)),(Datos!P18-Datos!Q18)/(Datos!R18-Datos!P18+Datos!Q18)," - ")</f>
        <v>7.2727272727272724E-2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2211</v>
      </c>
      <c r="G19" s="820">
        <f t="shared" si="13"/>
        <v>2425</v>
      </c>
      <c r="H19" s="819">
        <f t="shared" si="13"/>
        <v>0</v>
      </c>
      <c r="I19" s="821">
        <f t="shared" si="13"/>
        <v>0</v>
      </c>
      <c r="J19" s="821">
        <f t="shared" si="13"/>
        <v>0</v>
      </c>
      <c r="K19" s="880">
        <f t="shared" si="13"/>
        <v>0</v>
      </c>
      <c r="L19" s="821">
        <f t="shared" si="13"/>
        <v>783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1902</v>
      </c>
      <c r="X19" s="820">
        <f t="shared" si="14"/>
        <v>750</v>
      </c>
      <c r="Y19" s="827">
        <f t="shared" si="14"/>
        <v>2594</v>
      </c>
      <c r="Z19" s="827">
        <f t="shared" si="14"/>
        <v>0</v>
      </c>
      <c r="AA19" s="827">
        <f t="shared" si="14"/>
        <v>2491</v>
      </c>
      <c r="AB19" s="827">
        <f t="shared" si="14"/>
        <v>7136</v>
      </c>
      <c r="AC19" s="827">
        <f t="shared" si="14"/>
        <v>2927</v>
      </c>
      <c r="AD19" s="827">
        <f t="shared" si="14"/>
        <v>0</v>
      </c>
      <c r="AE19" s="829">
        <f t="shared" si="14"/>
        <v>0</v>
      </c>
      <c r="AF19" s="830">
        <f t="shared" si="14"/>
        <v>0</v>
      </c>
      <c r="AG19" s="831">
        <f t="shared" si="14"/>
        <v>0</v>
      </c>
      <c r="AH19" s="829">
        <f t="shared" si="14"/>
        <v>0</v>
      </c>
      <c r="AI19" s="819">
        <f t="shared" si="14"/>
        <v>889</v>
      </c>
      <c r="AJ19" s="819">
        <f t="shared" si="14"/>
        <v>0</v>
      </c>
      <c r="AK19" s="829">
        <f t="shared" si="14"/>
        <v>0</v>
      </c>
      <c r="AL19" s="883">
        <f>IF(ISNUMBER(NºAsuntos!G19/NºAsuntos!E19),NºAsuntos!G19/NºAsuntos!E19," - ")</f>
        <v>1.1414710485133019</v>
      </c>
      <c r="AM19" s="884">
        <f>IF(ISNUMBER(((NºAsuntos!I19/NºAsuntos!G19)*11)/factor_trimestre),((NºAsuntos!I19/NºAsuntos!G19)*11)/factor_trimestre," - ")</f>
        <v>4.9322731011790513</v>
      </c>
      <c r="AN19" s="884">
        <f>IF(ISNUMBER('Resol  Asuntos'!D19/NºAsuntos!G19),'Resol  Asuntos'!D19/NºAsuntos!G19," - ")</f>
        <v>0.2437619961612284</v>
      </c>
      <c r="AO19" s="885">
        <f>IF(ISNUMBER((NºAsuntos!C19+NºAsuntos!E19)/NºAsuntos!G19),(NºAsuntos!C19+NºAsuntos!E19)/NºAsuntos!G19," - ")</f>
        <v>2.6399780641623254</v>
      </c>
      <c r="AP19" s="886" t="str">
        <f t="shared" si="2"/>
        <v xml:space="preserve"> - </v>
      </c>
      <c r="AQ19" s="887">
        <f>IF(OR(ISNUMBER(FIND("01",Criterios!A8,1)),ISNUMBER(FIND("02",Criterios!A8,1)),ISNUMBER(FIND("03",Criterios!A8,1)),ISNUMBER(FIND("04",Criterios!A8,1))),(I19-W19+K19)/(F19-K19),(H19-W19+K19)/(F19-K19))</f>
        <v>-0.86024423337856171</v>
      </c>
      <c r="AR19" s="888">
        <f>IF(ISNUMBER((Datos!P19-Datos!Q19)/(Datos!R19-Datos!P19+Datos!Q19)),(Datos!P19-Datos!Q19)/(Datos!R19-Datos!P19+Datos!Q19)," - ")</f>
        <v>4.6459242573560471E-3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808.33333333333337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964.47825273564365</v>
      </c>
      <c r="G21" s="252">
        <f>IF(ISNUMBER(STDEV(G8:G18)),STDEV(G8:G18),"-")</f>
        <v>959.50105089398778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800.75064782989716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261.96823689687488</v>
      </c>
      <c r="AJ21" s="251">
        <f t="shared" si="18"/>
        <v>0</v>
      </c>
      <c r="AK21" s="253">
        <f t="shared" si="18"/>
        <v>0</v>
      </c>
      <c r="AL21" s="248">
        <f t="shared" si="18"/>
        <v>7.1976606099780165</v>
      </c>
      <c r="AM21" s="249">
        <f t="shared" si="18"/>
        <v>6.2654608492473027</v>
      </c>
      <c r="AN21" s="249">
        <f t="shared" si="18"/>
        <v>0.21959239944200501</v>
      </c>
      <c r="AO21" s="250">
        <f t="shared" si="18"/>
        <v>2.0990718188632775</v>
      </c>
      <c r="AP21" s="290" t="str">
        <f t="shared" si="18"/>
        <v>-</v>
      </c>
      <c r="AQ21" s="291">
        <f t="shared" si="18"/>
        <v>0.56387560397482939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FdADNqUBNTtnjTojOrWaVAXMtJ/dI2sCM8c4HZZ+rk7mnaKU3Uqg1B0wyhTLx97DXj76Ywr7MUScL5EzMFdaw==" saltValue="+2A4WDvhrUx6iyiGA5gt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CACERES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-0.28299643281807374</v>
      </c>
      <c r="I9" s="349">
        <f>IF(ISNUMBER((Tasas!C9-Datos!BE9)/Datos!BE9),(Tasas!C9-Datos!BE9)/Datos!BE9," - ")</f>
        <v>0.11705769330464764</v>
      </c>
      <c r="J9" s="348">
        <f>IF(ISNUMBER((Tasas!D9-Datos!BF9)/Datos!BF9),(Tasas!D9-Datos!BF9)/Datos!BF9," - ")</f>
        <v>0.28939594309237898</v>
      </c>
      <c r="K9" s="350">
        <f>IF(ISNUMBER((Tasas!E9-Datos!BG9)/Datos!BG9),(Tasas!E9-Datos!BG9)/Datos!BG9," - ")</f>
        <v>8.7037171059877044E-2</v>
      </c>
      <c r="M9" t="e">
        <f>IF(Monitorios="SI",Datos!CE9,0)</f>
        <v>#REF!</v>
      </c>
      <c r="N9" t="e">
        <f>IF(Monitorios="SI",Datos!CF9,0)</f>
        <v>#REF!</v>
      </c>
      <c r="O9" t="e">
        <f>IF(Monitorios="SI",Datos!CG9,0)</f>
        <v>#REF!</v>
      </c>
      <c r="P9" t="e">
        <f>IF(Monitorios="SI",Datos!CH9,0)</f>
        <v>#REF!</v>
      </c>
      <c r="Q9">
        <f>IF(J_V="SI",0,Datos!AG9)</f>
        <v>224</v>
      </c>
      <c r="R9">
        <f>IF(J_V="SI",0,Datos!AH9)</f>
        <v>202</v>
      </c>
      <c r="S9">
        <f>IF(J_V="SI",0,Datos!AI9)</f>
        <v>155</v>
      </c>
      <c r="T9">
        <f>IF(J_V="SI",0,Datos!AJ9)</f>
        <v>255</v>
      </c>
    </row>
    <row r="10" spans="2:20" ht="14.25">
      <c r="B10" s="274" t="s">
        <v>246</v>
      </c>
      <c r="C10" s="7" t="str">
        <f>Datos!A10</f>
        <v>Jdos. Violencia contra la mujer/Secc Viol. TI.</v>
      </c>
      <c r="D10" s="351">
        <f>IF(ISNUMBER((Datos!I10-Datos!S10)/Datos!S10),(Datos!I10-Datos!S10)/Datos!S10," - ")</f>
        <v>0.19711538461538461</v>
      </c>
      <c r="E10" s="347">
        <f>IF(ISNUMBER((Datos!J10-Datos!T10)/Datos!T10),(Datos!J10-Datos!T10)/Datos!T10," - ")</f>
        <v>0.47222222222222221</v>
      </c>
      <c r="F10" s="347">
        <f>IF(ISNUMBER((Datos!K10-Datos!U10)/Datos!U10),(Datos!K10-Datos!U10)/Datos!U10," - ")</f>
        <v>0.40740740740740738</v>
      </c>
      <c r="G10" s="348">
        <f>IF(ISNUMBER((Datos!L10-Datos!V10)/Datos!V10),(Datos!L10-Datos!V10)/Datos!V10," - ")</f>
        <v>0.21658986175115208</v>
      </c>
      <c r="H10" s="229">
        <f>IF(ISNUMBER((Datos!M10-Datos!W10)/Datos!W10),(Datos!M10-Datos!W10)/Datos!W10," - ")</f>
        <v>0.5</v>
      </c>
      <c r="I10" s="349">
        <f>IF(ISNUMBER((Tasas!C10-Datos!BE10)/Datos!BE10),(Tasas!C10-Datos!BE10)/Datos!BE10," - ")</f>
        <v>-0.13558088770312868</v>
      </c>
      <c r="J10" s="348">
        <f>IF(ISNUMBER((Tasas!D10-Datos!BF10)/Datos!BF10),(Tasas!D10-Datos!BF10)/Datos!BF10," - ")</f>
        <v>6.5789473684210564E-2</v>
      </c>
      <c r="K10" s="350">
        <f>IF(ISNUMBER((Tasas!E10-Datos!BG10)/Datos!BG10),(Tasas!E10-Datos!BG10)/Datos!BG10," - ")</f>
        <v>-0.12057808455565132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-0.87096774193548387</v>
      </c>
      <c r="I12" s="349">
        <f>IF(ISNUMBER((Tasas!C12-Datos!BE12)/Datos!BE12),(Tasas!C12-Datos!BE12)/Datos!BE12," - ")</f>
        <v>0.77614678899082601</v>
      </c>
      <c r="J12" s="348">
        <f>IF(ISNUMBER((Tasas!D12-Datos!BF12)/Datos!BF12),(Tasas!D12-Datos!BF12)/Datos!BF12," - ")</f>
        <v>-0.16190476190476191</v>
      </c>
      <c r="K12" s="350">
        <f>IF(ISNUMBER((Tasas!E12-Datos!BG12)/Datos!BG12),(Tasas!E12-Datos!BG12)/Datos!BG12," - ")</f>
        <v>0.56315789473684219</v>
      </c>
      <c r="M12" t="e">
        <f>IF(Monitorios="SI",Datos!CE12,0)</f>
        <v>#REF!</v>
      </c>
      <c r="N12" t="e">
        <f>IF(Monitorios="SI",Datos!CF12,0)</f>
        <v>#REF!</v>
      </c>
      <c r="O12" t="e">
        <f>IF(Monitorios="SI",Datos!CG12,0)</f>
        <v>#REF!</v>
      </c>
      <c r="P12" t="e">
        <f>IF(Monitorios="SI",Datos!CH12,0)</f>
        <v>#REF!</v>
      </c>
      <c r="Q12">
        <f>IF(J_V="SI",0,Datos!AG12)</f>
        <v>26</v>
      </c>
      <c r="R12">
        <f>IF(J_V="SI",0,Datos!AH12)</f>
        <v>1</v>
      </c>
      <c r="S12">
        <f>IF(J_V="SI",0,Datos!AI12)</f>
        <v>0</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-0.28764044943820227</v>
      </c>
      <c r="I13" s="356">
        <f>IF(ISNUMBER((Tasas!C13-Datos!BE13)/Datos!BE13),(Tasas!C13-Datos!BE13)/Datos!BE13," - ")</f>
        <v>0.12695401787296046</v>
      </c>
      <c r="J13" s="354">
        <f>IF(ISNUMBER((Tasas!D13-Datos!BF13)/Datos!BF13),(Tasas!D13-Datos!BF13)/Datos!BF13," - ")</f>
        <v>0.28603672704461991</v>
      </c>
      <c r="K13" s="357">
        <f>IF(ISNUMBER((Tasas!E13-Datos!BG13)/Datos!BG13),(Tasas!E13-Datos!BG13)/Datos!BG13," - ")</f>
        <v>9.4355670492180216E-2</v>
      </c>
      <c r="M13" t="e">
        <f>IF(Monitorios="SI",Datos!CE13,0)</f>
        <v>#REF!</v>
      </c>
      <c r="N13" t="e">
        <f>IF(Monitorios="SI",Datos!CF13,0)</f>
        <v>#REF!</v>
      </c>
      <c r="O13" t="e">
        <f>IF(Monitorios="SI",Datos!CG13,0)</f>
        <v>#REF!</v>
      </c>
      <c r="P13" t="e">
        <f>IF(Monitorios="SI",Datos!CH13,0)</f>
        <v>#REF!</v>
      </c>
      <c r="Q13">
        <f>IF(J_V="SI",0,Datos!AG13)</f>
        <v>250</v>
      </c>
      <c r="R13">
        <f>IF(J_V="SI",0,Datos!AH13)</f>
        <v>203</v>
      </c>
      <c r="S13">
        <f>IF(J_V="SI",0,Datos!AI13)</f>
        <v>155</v>
      </c>
      <c r="T13">
        <f>IF(J_V="SI",0,Datos!AJ13)</f>
        <v>282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8.4474885844748854E-2</v>
      </c>
      <c r="E15" s="347">
        <f>IF(ISNUMBER(
   IF(D_I="SI",(Datos!J15-Datos!T15)/Datos!T15,(Datos!J15+Datos!AD15-(Datos!T15+Datos!AL15))/(Datos!T15+Datos!AL15))
     ),IF(D_I="SI",(Datos!J15-Datos!T15)/Datos!T15,(Datos!J15+Datos!AD15-(Datos!T15+Datos!AL15))/(Datos!T15+Datos!AL15))," - ")</f>
        <v>-0.12306701030927836</v>
      </c>
      <c r="F15" s="347">
        <f>IF(ISNUMBER(
   IF(D_I="SI",(Datos!K15-Datos!U15)/Datos!U15,(Datos!K15+Datos!AE15-(Datos!U15+Datos!AM15))/(Datos!U15+Datos!AM15))
     ),IF(D_I="SI",(Datos!K15-Datos!U15)/Datos!U15,(Datos!K15+Datos!AE15-(Datos!U15+Datos!AM15))/(Datos!U15+Datos!AM15))," - ")</f>
        <v>-0.11408540471637986</v>
      </c>
      <c r="G15" s="348">
        <f>IF(ISNUMBER(
   IF(D_I="SI",(Datos!L15-Datos!V15)/Datos!V15,(Datos!L15+Datos!AF15-(Datos!V15+Datos!AN15))/(Datos!V15+Datos!AN15))
     ),IF(D_I="SI",(Datos!L15-Datos!V15)/Datos!V15,(Datos!L15+Datos!AF15-(Datos!V15+Datos!AN15))/(Datos!V15+Datos!AN15))," - ")</f>
        <v>6.6251415628539076E-2</v>
      </c>
      <c r="H15" s="229">
        <f>IF(ISNUMBER((Datos!M15-Datos!W15)/Datos!W15),(Datos!M15-Datos!W15)/Datos!W15," - ")</f>
        <v>-0.184</v>
      </c>
      <c r="I15" s="349">
        <f>IF(ISNUMBER((Tasas!C15-Datos!BE15)/Datos!BE15),(Tasas!C15-Datos!BE15)/Datos!BE15," - ")</f>
        <v>0.20356005116631506</v>
      </c>
      <c r="J15" s="348">
        <f>IF(ISNUMBER((Tasas!D15-Datos!BF15)/Datos!BF15),(Tasas!D15-Datos!BF15)/Datos!BF15," - ")</f>
        <v>-7.8917985611510838E-2</v>
      </c>
      <c r="K15" s="350">
        <f>IF(ISNUMBER((Tasas!E15-Datos!BG15)/Datos!BG15),(Tasas!E15-Datos!BG15)/Datos!BG15," - ")</f>
        <v>0.11408647900081866</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-0.55660377358490565</v>
      </c>
      <c r="E16" s="347">
        <f>IF(ISNUMBER(
   IF(D_I="SI",(Datos!J16-Datos!T16)/Datos!T16,(Datos!J16+Datos!AD16-(Datos!T16+Datos!AL16))/(Datos!T16+Datos!AL16))
     ),IF(D_I="SI",(Datos!J16-Datos!T16)/Datos!T16,(Datos!J16+Datos!AD16-(Datos!T16+Datos!AL16))/(Datos!T16+Datos!AL16))," - ")</f>
        <v>-0.8571428571428571</v>
      </c>
      <c r="F16" s="347">
        <f>IF(ISNUMBER(
   IF(D_I="SI",(Datos!K16-Datos!U16)/Datos!U16,(Datos!K16+Datos!AE16-(Datos!U16+Datos!AM16))/(Datos!U16+Datos!AM16))
     ),IF(D_I="SI",(Datos!K16-Datos!U16)/Datos!U16,(Datos!K16+Datos!AE16-(Datos!U16+Datos!AM16))/(Datos!U16+Datos!AM16))," - ")</f>
        <v>-0.55000000000000004</v>
      </c>
      <c r="G16" s="348">
        <f>IF(ISNUMBER(
   IF(D_I="SI",(Datos!L16-Datos!V16)/Datos!V16,(Datos!L16+Datos!AF16-(Datos!V16+Datos!AN16))/(Datos!V16+Datos!AN16))
     ),IF(D_I="SI",(Datos!L16-Datos!V16)/Datos!V16,(Datos!L16+Datos!AF16-(Datos!V16+Datos!AN16))/(Datos!V16+Datos!AN16))," - ")</f>
        <v>-0.58227848101265822</v>
      </c>
      <c r="H16" s="229" t="str">
        <f>IF(ISNUMBER((Datos!M16-Datos!W16)/Datos!W16),(Datos!M16-Datos!W16)/Datos!W16," - ")</f>
        <v xml:space="preserve"> - </v>
      </c>
      <c r="I16" s="349">
        <f>IF(ISNUMBER((Tasas!C16-Datos!BE16)/Datos!BE16),(Tasas!C16-Datos!BE16)/Datos!BE16," - ")</f>
        <v>-7.1729957805907255E-2</v>
      </c>
      <c r="J16" s="348" t="str">
        <f>IF(ISNUMBER((Tasas!D16-Datos!BF16)/Datos!BF16),(Tasas!D16-Datos!BF16)/Datos!BF16," - ")</f>
        <v xml:space="preserve"> - </v>
      </c>
      <c r="K16" s="350">
        <f>IF(ISNUMBER((Tasas!E16-Datos!BG16)/Datos!BG16),(Tasas!E16-Datos!BG16)/Datos!BG16," - ")</f>
        <v>-5.6047197640118104E-2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0.42236024844720499</v>
      </c>
      <c r="E17" s="347">
        <f>IF(ISNUMBER(
   IF(D_I="SI",(Datos!J17-Datos!T17)/Datos!T17,(Datos!J17+Datos!AD17-(Datos!T17+Datos!AL17))/(Datos!T17+Datos!AL17))
     ),IF(D_I="SI",(Datos!J17-Datos!T17)/Datos!T17,(Datos!J17+Datos!AD17-(Datos!T17+Datos!AL17))/(Datos!T17+Datos!AL17))," - ")</f>
        <v>0.42328042328042326</v>
      </c>
      <c r="F17" s="347">
        <f>IF(ISNUMBER(
   IF(D_I="SI",(Datos!K17-Datos!U17)/Datos!U17,(Datos!K17+Datos!AE17-(Datos!U17+Datos!AM17))/(Datos!U17+Datos!AM17))
     ),IF(D_I="SI",(Datos!K17-Datos!U17)/Datos!U17,(Datos!K17+Datos!AE17-(Datos!U17+Datos!AM17))/(Datos!U17+Datos!AM17))," - ")</f>
        <v>0.24931506849315069</v>
      </c>
      <c r="G17" s="348">
        <f>IF(ISNUMBER(
   IF(D_I="SI",(Datos!L17-Datos!V17)/Datos!V17,(Datos!L17+Datos!AF17-(Datos!V17+Datos!AN17))/(Datos!V17+Datos!AN17))
     ),IF(D_I="SI",(Datos!L17-Datos!V17)/Datos!V17,(Datos!L17+Datos!AF17-(Datos!V17+Datos!AN17))/(Datos!V17+Datos!AN17))," - ")</f>
        <v>0.78735632183908044</v>
      </c>
      <c r="H17" s="229">
        <f>IF(ISNUMBER((Datos!M17-Datos!W17)/Datos!W17),(Datos!M17-Datos!W17)/Datos!W17," - ")</f>
        <v>0.02</v>
      </c>
      <c r="I17" s="349">
        <f>IF(ISNUMBER((Tasas!C17-Datos!BE17)/Datos!BE17),(Tasas!C17-Datos!BE17)/Datos!BE17," - ")</f>
        <v>0.43066898568259726</v>
      </c>
      <c r="J17" s="348">
        <f>IF(ISNUMBER((Tasas!D17-Datos!BF17)/Datos!BF17),(Tasas!D17-Datos!BF17)/Datos!BF17," - ")</f>
        <v>-0.18355263157894733</v>
      </c>
      <c r="K17" s="350">
        <f>IF(ISNUMBER((Tasas!E17-Datos!BG17)/Datos!BG17),(Tasas!E17-Datos!BG17)/Datos!BG17," - ")</f>
        <v>0.13902857793835238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7.7761267954432889E-2</v>
      </c>
      <c r="E18" s="353">
        <f>IF(ISNUMBER(
   IF(D_I="SI",(Datos!J18-Datos!T18)/Datos!T18,(Datos!J18+Datos!AD18-(Datos!T18+Datos!AL18))/(Datos!T18+Datos!AL18))
     ),IF(D_I="SI",(Datos!J18-Datos!T18)/Datos!T18,(Datos!J18+Datos!AD18-(Datos!T18+Datos!AL18))/(Datos!T18+Datos!AL18))," - ")</f>
        <v>-1.9101703665462055E-2</v>
      </c>
      <c r="F18" s="353">
        <f>IF(ISNUMBER(
   IF(D_I="SI",(Datos!K18-Datos!U18)/Datos!U18,(Datos!K18+Datos!AE18-(Datos!U18+Datos!AM18))/(Datos!U18+Datos!AM18))
     ),IF(D_I="SI",(Datos!K18-Datos!U18)/Datos!U18,(Datos!K18+Datos!AE18-(Datos!U18+Datos!AM18))/(Datos!U18+Datos!AM18))," - ")</f>
        <v>-5.5724417426545089E-2</v>
      </c>
      <c r="G18" s="354">
        <f>IF(ISNUMBER(
   IF(D_I="SI",(Datos!L18-Datos!V18)/Datos!V18,(Datos!L18+Datos!AF18-(Datos!V18+Datos!AN18))/(Datos!V18+Datos!AN18))
     ),IF(D_I="SI",(Datos!L18-Datos!V18)/Datos!V18,(Datos!L18+Datos!AF18-(Datos!V18+Datos!AN18))/(Datos!V18+Datos!AN18))," - ")</f>
        <v>0.1030212976721149</v>
      </c>
      <c r="H18" s="355">
        <f>IF(ISNUMBER((Datos!M18-Datos!W18)/Datos!W18),(Datos!M18-Datos!W18)/Datos!W18," - ")</f>
        <v>-0.15</v>
      </c>
      <c r="I18" s="356">
        <f>IF(ISNUMBER((Tasas!C18-Datos!BE18)/Datos!BE18),(Tasas!C18-Datos!BE18)/Datos!BE18," - ")</f>
        <v>0.1681137562257268</v>
      </c>
      <c r="J18" s="354">
        <f>IF(ISNUMBER((Tasas!D18-Datos!BF18)/Datos!BF18),(Tasas!D18-Datos!BF18)/Datos!BF18," - ")</f>
        <v>-9.9839055793991452E-2</v>
      </c>
      <c r="K18" s="357">
        <f>IF(ISNUMBER((Tasas!E18-Datos!BG18)/Datos!BG18),(Tasas!E18-Datos!BG18)/Datos!BG18," - ")</f>
        <v>9.1136623024948404E-2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8.2085786375105135E-2</v>
      </c>
      <c r="E19" s="362">
        <f>IF(ISNUMBER(
   IF(J_V="SI",(Datos!J19-Datos!T19)/Datos!T19,(Datos!J19+Datos!Z19-(Datos!T19+Datos!AH19))/(Datos!T19+Datos!AH19))
     ),IF(J_V="SI",(Datos!J19-Datos!T19)/Datos!T19,(Datos!J19+Datos!Z19-(Datos!T19+Datos!AH19))/(Datos!T19+Datos!AH19))," - ")</f>
        <v>-0.18453292496171517</v>
      </c>
      <c r="F19" s="362">
        <f>IF(ISNUMBER(
   IF(J_V="SI",(Datos!K19-Datos!U19)/Datos!U19,(Datos!K19+Datos!AA19-(Datos!U19+Datos!AI19))/(Datos!U19+Datos!AI19))
     ),IF(J_V="SI",(Datos!K19-Datos!U19)/Datos!U19,(Datos!K19+Datos!AA19-(Datos!U19+Datos!AI19))/(Datos!U19+Datos!AI19))," - ")</f>
        <v>-9.9506172839506177E-2</v>
      </c>
      <c r="G19" s="363">
        <f>IF(ISNUMBER(
   IF(J_V="SI",(Datos!L19-Datos!V19)/Datos!V19,(Datos!L19+Datos!AB19-(Datos!V19+Datos!AJ19))/(Datos!V19+Datos!AJ19))
     ),IF(J_V="SI",(Datos!L19-Datos!V19)/Datos!V19,(Datos!L19+Datos!AB19-(Datos!V19+Datos!AJ19))/(Datos!V19+Datos!AJ19))," - ")</f>
        <v>1.4036867918146456E-2</v>
      </c>
      <c r="H19" s="364">
        <f>IF(ISNUMBER((Datos!M19-Datos!W19)/Datos!W19),(Datos!M19-Datos!W19)/Datos!W19," - ")</f>
        <v>-0.25294117647058822</v>
      </c>
      <c r="I19" s="361">
        <f>IF(ISNUMBER((Tasas!C19-Datos!BE19)/Datos!BE19),(Tasas!C19-Datos!BE19)/Datos!BE19," - ")</f>
        <v>0.12608974912763726</v>
      </c>
      <c r="J19" s="362">
        <f>IF(ISNUMBER((Tasas!D19-Datos!BF19)/Datos!BF19),(Tasas!D19-Datos!BF19)/Datos!BF19," - ")</f>
        <v>0.12956073736038329</v>
      </c>
      <c r="K19" s="363">
        <f>IF(ISNUMBER((Tasas!E19-Datos!BG19)/Datos!BG19),(Tasas!E19-Datos!BG19)/Datos!BG19," - ")</f>
        <v>8.4042498211235772E-2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0.36403932229001223</v>
      </c>
      <c r="E21" s="277">
        <f t="shared" si="1"/>
        <v>0.53623901549259945</v>
      </c>
      <c r="F21" s="277">
        <f t="shared" si="1"/>
        <v>0.36944671016393454</v>
      </c>
      <c r="G21" s="278">
        <f t="shared" si="1"/>
        <v>0.48760893604068684</v>
      </c>
      <c r="H21" s="284">
        <f t="shared" si="1"/>
        <v>0.40884887020753297</v>
      </c>
      <c r="I21" s="276">
        <f t="shared" si="1"/>
        <v>0.28904293060262848</v>
      </c>
      <c r="J21" s="277">
        <f t="shared" si="1"/>
        <v>0.2016763301309531</v>
      </c>
      <c r="K21" s="278">
        <f t="shared" si="1"/>
        <v>0.20281863914296569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gvNBEqQWiKOL+vQe3J8HFTHPhBBpIlNxsT0DbclK0kcheD683jijOKeihsbUjTM+jO6LbXpVS0WusZrh65haA==" saltValue="ePFYU2GLFZtTHHck3NWp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